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9660" windowHeight="5490"/>
  </bookViews>
  <sheets>
    <sheet name="Krycí list rozpočtu" sheetId="4" r:id="rId1"/>
    <sheet name="Stavební rozpočet - součet" sheetId="2" r:id="rId2"/>
    <sheet name="Stavební rozpočet" sheetId="1" r:id="rId3"/>
    <sheet name="Výkaz výměr" sheetId="3" r:id="rId4"/>
  </sheets>
  <calcPr calcId="144525"/>
</workbook>
</file>

<file path=xl/calcChain.xml><?xml version="1.0" encoding="utf-8"?>
<calcChain xmlns="http://schemas.openxmlformats.org/spreadsheetml/2006/main">
  <c r="C2" i="4" l="1"/>
  <c r="F2" i="4"/>
  <c r="C4" i="4"/>
  <c r="F4" i="4"/>
  <c r="C6" i="4"/>
  <c r="F6" i="4"/>
  <c r="C10" i="4"/>
  <c r="F10" i="4"/>
  <c r="C14" i="4"/>
  <c r="C15" i="4"/>
  <c r="C16" i="4"/>
  <c r="C17" i="4"/>
  <c r="C18" i="4"/>
  <c r="C19" i="4"/>
  <c r="C20" i="4"/>
  <c r="C21" i="4"/>
  <c r="C22" i="4"/>
  <c r="F22" i="4"/>
  <c r="I22" i="4"/>
  <c r="C27" i="4"/>
  <c r="C28" i="4"/>
  <c r="F28" i="4"/>
  <c r="I28" i="4"/>
  <c r="C29" i="4"/>
  <c r="F29" i="4"/>
  <c r="I29" i="4"/>
  <c r="I12" i="1"/>
  <c r="J12" i="1"/>
  <c r="K12" i="1"/>
  <c r="AS12" i="1"/>
  <c r="AT12" i="1"/>
  <c r="AU12" i="1"/>
  <c r="I13" i="1"/>
  <c r="J13" i="1"/>
  <c r="K13" i="1"/>
  <c r="Z13" i="1"/>
  <c r="AB13" i="1"/>
  <c r="AC13" i="1"/>
  <c r="AD13" i="1"/>
  <c r="AE13" i="1"/>
  <c r="AF13" i="1"/>
  <c r="AG13" i="1"/>
  <c r="AH13" i="1"/>
  <c r="AJ13" i="1"/>
  <c r="AK13" i="1"/>
  <c r="AL13" i="1"/>
  <c r="AO13" i="1"/>
  <c r="AP13" i="1"/>
  <c r="AV13" i="1"/>
  <c r="AW13" i="1"/>
  <c r="AX13" i="1"/>
  <c r="BC13" i="1"/>
  <c r="BD13" i="1"/>
  <c r="BF13" i="1"/>
  <c r="BH13" i="1"/>
  <c r="BI13" i="1"/>
  <c r="BJ13" i="1"/>
  <c r="I14" i="1"/>
  <c r="J14" i="1"/>
  <c r="K14" i="1"/>
  <c r="Z14" i="1"/>
  <c r="AB14" i="1"/>
  <c r="AC14" i="1"/>
  <c r="AD14" i="1"/>
  <c r="AE14" i="1"/>
  <c r="AF14" i="1"/>
  <c r="AG14" i="1"/>
  <c r="AH14" i="1"/>
  <c r="AJ14" i="1"/>
  <c r="AK14" i="1"/>
  <c r="AL14" i="1"/>
  <c r="AO14" i="1"/>
  <c r="AP14" i="1"/>
  <c r="AV14" i="1"/>
  <c r="AW14" i="1"/>
  <c r="AX14" i="1"/>
  <c r="BC14" i="1"/>
  <c r="BD14" i="1"/>
  <c r="BF14" i="1"/>
  <c r="BH14" i="1"/>
  <c r="BI14" i="1"/>
  <c r="BJ14" i="1"/>
  <c r="I15" i="1"/>
  <c r="J15" i="1"/>
  <c r="K15" i="1"/>
  <c r="Z15" i="1"/>
  <c r="AB15" i="1"/>
  <c r="AC15" i="1"/>
  <c r="AD15" i="1"/>
  <c r="AE15" i="1"/>
  <c r="AF15" i="1"/>
  <c r="AG15" i="1"/>
  <c r="AH15" i="1"/>
  <c r="AJ15" i="1"/>
  <c r="AK15" i="1"/>
  <c r="AL15" i="1"/>
  <c r="AO15" i="1"/>
  <c r="AP15" i="1"/>
  <c r="AV15" i="1"/>
  <c r="AW15" i="1"/>
  <c r="AX15" i="1"/>
  <c r="BC15" i="1"/>
  <c r="BD15" i="1"/>
  <c r="BF15" i="1"/>
  <c r="BH15" i="1"/>
  <c r="BI15" i="1"/>
  <c r="BJ15" i="1"/>
  <c r="I16" i="1"/>
  <c r="J16" i="1"/>
  <c r="K16" i="1"/>
  <c r="AS16" i="1"/>
  <c r="AT16" i="1"/>
  <c r="AU16" i="1"/>
  <c r="I17" i="1"/>
  <c r="J17" i="1"/>
  <c r="K17" i="1"/>
  <c r="Z17" i="1"/>
  <c r="AB17" i="1"/>
  <c r="AC17" i="1"/>
  <c r="AD17" i="1"/>
  <c r="AE17" i="1"/>
  <c r="AF17" i="1"/>
  <c r="AG17" i="1"/>
  <c r="AH17" i="1"/>
  <c r="AJ17" i="1"/>
  <c r="AK17" i="1"/>
  <c r="AL17" i="1"/>
  <c r="AO17" i="1"/>
  <c r="AP17" i="1"/>
  <c r="AV17" i="1"/>
  <c r="AW17" i="1"/>
  <c r="AX17" i="1"/>
  <c r="BC17" i="1"/>
  <c r="BD17" i="1"/>
  <c r="BF17" i="1"/>
  <c r="BH17" i="1"/>
  <c r="BI17" i="1"/>
  <c r="BJ17" i="1"/>
  <c r="I18" i="1"/>
  <c r="J18" i="1"/>
  <c r="K18" i="1"/>
  <c r="Z18" i="1"/>
  <c r="AB18" i="1"/>
  <c r="AC18" i="1"/>
  <c r="AD18" i="1"/>
  <c r="AE18" i="1"/>
  <c r="AF18" i="1"/>
  <c r="AG18" i="1"/>
  <c r="AH18" i="1"/>
  <c r="AJ18" i="1"/>
  <c r="AK18" i="1"/>
  <c r="AL18" i="1"/>
  <c r="AO18" i="1"/>
  <c r="AP18" i="1"/>
  <c r="AV18" i="1"/>
  <c r="AW18" i="1"/>
  <c r="AX18" i="1"/>
  <c r="BC18" i="1"/>
  <c r="BD18" i="1"/>
  <c r="BF18" i="1"/>
  <c r="BH18" i="1"/>
  <c r="BI18" i="1"/>
  <c r="BJ18" i="1"/>
  <c r="I19" i="1"/>
  <c r="J19" i="1"/>
  <c r="K19" i="1"/>
  <c r="Z19" i="1"/>
  <c r="AB19" i="1"/>
  <c r="AC19" i="1"/>
  <c r="AD19" i="1"/>
  <c r="AE19" i="1"/>
  <c r="AF19" i="1"/>
  <c r="AG19" i="1"/>
  <c r="AH19" i="1"/>
  <c r="AJ19" i="1"/>
  <c r="AK19" i="1"/>
  <c r="AL19" i="1"/>
  <c r="AO19" i="1"/>
  <c r="AP19" i="1"/>
  <c r="AV19" i="1"/>
  <c r="AW19" i="1"/>
  <c r="AX19" i="1"/>
  <c r="BC19" i="1"/>
  <c r="BD19" i="1"/>
  <c r="BF19" i="1"/>
  <c r="BH19" i="1"/>
  <c r="BI19" i="1"/>
  <c r="BJ19" i="1"/>
  <c r="I20" i="1"/>
  <c r="J20" i="1"/>
  <c r="K20" i="1"/>
  <c r="Z20" i="1"/>
  <c r="AB20" i="1"/>
  <c r="AC20" i="1"/>
  <c r="AD20" i="1"/>
  <c r="AE20" i="1"/>
  <c r="AF20" i="1"/>
  <c r="AG20" i="1"/>
  <c r="AH20" i="1"/>
  <c r="AJ20" i="1"/>
  <c r="AK20" i="1"/>
  <c r="AL20" i="1"/>
  <c r="AO20" i="1"/>
  <c r="AP20" i="1"/>
  <c r="AV20" i="1"/>
  <c r="AW20" i="1"/>
  <c r="AX20" i="1"/>
  <c r="BC20" i="1"/>
  <c r="BD20" i="1"/>
  <c r="BF20" i="1"/>
  <c r="BH20" i="1"/>
  <c r="BI20" i="1"/>
  <c r="BJ20" i="1"/>
  <c r="I21" i="1"/>
  <c r="J21" i="1"/>
  <c r="K21" i="1"/>
  <c r="Z21" i="1"/>
  <c r="AB21" i="1"/>
  <c r="AC21" i="1"/>
  <c r="AD21" i="1"/>
  <c r="AE21" i="1"/>
  <c r="AF21" i="1"/>
  <c r="AG21" i="1"/>
  <c r="AH21" i="1"/>
  <c r="AJ21" i="1"/>
  <c r="AK21" i="1"/>
  <c r="AL21" i="1"/>
  <c r="AO21" i="1"/>
  <c r="AP21" i="1"/>
  <c r="AV21" i="1"/>
  <c r="AW21" i="1"/>
  <c r="AX21" i="1"/>
  <c r="BC21" i="1"/>
  <c r="BD21" i="1"/>
  <c r="BF21" i="1"/>
  <c r="BH21" i="1"/>
  <c r="BI21" i="1"/>
  <c r="BJ21" i="1"/>
  <c r="I22" i="1"/>
  <c r="J22" i="1"/>
  <c r="K22" i="1"/>
  <c r="AS22" i="1"/>
  <c r="AT22" i="1"/>
  <c r="AU22" i="1"/>
  <c r="I23" i="1"/>
  <c r="J23" i="1"/>
  <c r="K23" i="1"/>
  <c r="Z23" i="1"/>
  <c r="AB23" i="1"/>
  <c r="AC23" i="1"/>
  <c r="AD23" i="1"/>
  <c r="AE23" i="1"/>
  <c r="AF23" i="1"/>
  <c r="AG23" i="1"/>
  <c r="AH23" i="1"/>
  <c r="AJ23" i="1"/>
  <c r="AK23" i="1"/>
  <c r="AL23" i="1"/>
  <c r="AO23" i="1"/>
  <c r="AP23" i="1"/>
  <c r="AV23" i="1"/>
  <c r="AW23" i="1"/>
  <c r="AX23" i="1"/>
  <c r="BC23" i="1"/>
  <c r="BD23" i="1"/>
  <c r="BF23" i="1"/>
  <c r="BH23" i="1"/>
  <c r="BI23" i="1"/>
  <c r="BJ23" i="1"/>
  <c r="I24" i="1"/>
  <c r="J24" i="1"/>
  <c r="K24" i="1"/>
  <c r="Z24" i="1"/>
  <c r="AB24" i="1"/>
  <c r="AC24" i="1"/>
  <c r="AD24" i="1"/>
  <c r="AE24" i="1"/>
  <c r="AF24" i="1"/>
  <c r="AG24" i="1"/>
  <c r="AH24" i="1"/>
  <c r="AJ24" i="1"/>
  <c r="AK24" i="1"/>
  <c r="AL24" i="1"/>
  <c r="AO24" i="1"/>
  <c r="AP24" i="1"/>
  <c r="AV24" i="1"/>
  <c r="AW24" i="1"/>
  <c r="AX24" i="1"/>
  <c r="BC24" i="1"/>
  <c r="BD24" i="1"/>
  <c r="BF24" i="1"/>
  <c r="BH24" i="1"/>
  <c r="BI24" i="1"/>
  <c r="BJ24" i="1"/>
  <c r="I25" i="1"/>
  <c r="J25" i="1"/>
  <c r="K25" i="1"/>
  <c r="AS25" i="1"/>
  <c r="AT25" i="1"/>
  <c r="AU25" i="1"/>
  <c r="I26" i="1"/>
  <c r="J26" i="1"/>
  <c r="K26" i="1"/>
  <c r="Z26" i="1"/>
  <c r="AB26" i="1"/>
  <c r="AC26" i="1"/>
  <c r="AD26" i="1"/>
  <c r="AE26" i="1"/>
  <c r="AF26" i="1"/>
  <c r="AG26" i="1"/>
  <c r="AH26" i="1"/>
  <c r="AJ26" i="1"/>
  <c r="AK26" i="1"/>
  <c r="AL26" i="1"/>
  <c r="AO26" i="1"/>
  <c r="AP26" i="1"/>
  <c r="AV26" i="1"/>
  <c r="AW26" i="1"/>
  <c r="AX26" i="1"/>
  <c r="BC26" i="1"/>
  <c r="BD26" i="1"/>
  <c r="BF26" i="1"/>
  <c r="BH26" i="1"/>
  <c r="BI26" i="1"/>
  <c r="BJ26" i="1"/>
  <c r="I27" i="1"/>
  <c r="J27" i="1"/>
  <c r="K27" i="1"/>
  <c r="Z27" i="1"/>
  <c r="AB27" i="1"/>
  <c r="AC27" i="1"/>
  <c r="AD27" i="1"/>
  <c r="AE27" i="1"/>
  <c r="AF27" i="1"/>
  <c r="AG27" i="1"/>
  <c r="AH27" i="1"/>
  <c r="AJ27" i="1"/>
  <c r="AK27" i="1"/>
  <c r="AL27" i="1"/>
  <c r="AO27" i="1"/>
  <c r="AP27" i="1"/>
  <c r="AV27" i="1"/>
  <c r="AW27" i="1"/>
  <c r="AX27" i="1"/>
  <c r="BC27" i="1"/>
  <c r="BD27" i="1"/>
  <c r="BF27" i="1"/>
  <c r="BH27" i="1"/>
  <c r="BI27" i="1"/>
  <c r="BJ27" i="1"/>
  <c r="I28" i="1"/>
  <c r="J28" i="1"/>
  <c r="K28" i="1"/>
  <c r="Z28" i="1"/>
  <c r="AB28" i="1"/>
  <c r="AC28" i="1"/>
  <c r="AD28" i="1"/>
  <c r="AE28" i="1"/>
  <c r="AF28" i="1"/>
  <c r="AG28" i="1"/>
  <c r="AH28" i="1"/>
  <c r="AJ28" i="1"/>
  <c r="AK28" i="1"/>
  <c r="AL28" i="1"/>
  <c r="AO28" i="1"/>
  <c r="AP28" i="1"/>
  <c r="AV28" i="1"/>
  <c r="AW28" i="1"/>
  <c r="AX28" i="1"/>
  <c r="BC28" i="1"/>
  <c r="BD28" i="1"/>
  <c r="BF28" i="1"/>
  <c r="BH28" i="1"/>
  <c r="BI28" i="1"/>
  <c r="BJ28" i="1"/>
  <c r="I29" i="1"/>
  <c r="J29" i="1"/>
  <c r="K29" i="1"/>
  <c r="Z29" i="1"/>
  <c r="AB29" i="1"/>
  <c r="AC29" i="1"/>
  <c r="AD29" i="1"/>
  <c r="AE29" i="1"/>
  <c r="AF29" i="1"/>
  <c r="AG29" i="1"/>
  <c r="AH29" i="1"/>
  <c r="AJ29" i="1"/>
  <c r="AK29" i="1"/>
  <c r="AL29" i="1"/>
  <c r="AO29" i="1"/>
  <c r="AP29" i="1"/>
  <c r="AV29" i="1"/>
  <c r="AW29" i="1"/>
  <c r="AX29" i="1"/>
  <c r="BC29" i="1"/>
  <c r="BD29" i="1"/>
  <c r="BF29" i="1"/>
  <c r="BH29" i="1"/>
  <c r="BI29" i="1"/>
  <c r="BJ29" i="1"/>
  <c r="I30" i="1"/>
  <c r="J30" i="1"/>
  <c r="K30" i="1"/>
  <c r="Z30" i="1"/>
  <c r="AB30" i="1"/>
  <c r="AC30" i="1"/>
  <c r="AD30" i="1"/>
  <c r="AE30" i="1"/>
  <c r="AF30" i="1"/>
  <c r="AG30" i="1"/>
  <c r="AH30" i="1"/>
  <c r="AJ30" i="1"/>
  <c r="AK30" i="1"/>
  <c r="AL30" i="1"/>
  <c r="AO30" i="1"/>
  <c r="AP30" i="1"/>
  <c r="AV30" i="1"/>
  <c r="AW30" i="1"/>
  <c r="AX30" i="1"/>
  <c r="BC30" i="1"/>
  <c r="BD30" i="1"/>
  <c r="BF30" i="1"/>
  <c r="BH30" i="1"/>
  <c r="BI30" i="1"/>
  <c r="BJ30" i="1"/>
  <c r="I31" i="1"/>
  <c r="J31" i="1"/>
  <c r="K31" i="1"/>
  <c r="AS31" i="1"/>
  <c r="AT31" i="1"/>
  <c r="AU31" i="1"/>
  <c r="I32" i="1"/>
  <c r="J32" i="1"/>
  <c r="K32" i="1"/>
  <c r="Z32" i="1"/>
  <c r="AB32" i="1"/>
  <c r="AC32" i="1"/>
  <c r="AD32" i="1"/>
  <c r="AE32" i="1"/>
  <c r="AF32" i="1"/>
  <c r="AG32" i="1"/>
  <c r="AH32" i="1"/>
  <c r="AJ32" i="1"/>
  <c r="AK32" i="1"/>
  <c r="AL32" i="1"/>
  <c r="AO32" i="1"/>
  <c r="AP32" i="1"/>
  <c r="AV32" i="1"/>
  <c r="AW32" i="1"/>
  <c r="AX32" i="1"/>
  <c r="BC32" i="1"/>
  <c r="BD32" i="1"/>
  <c r="BF32" i="1"/>
  <c r="BH32" i="1"/>
  <c r="BI32" i="1"/>
  <c r="BJ32" i="1"/>
  <c r="I33" i="1"/>
  <c r="J33" i="1"/>
  <c r="K33" i="1"/>
  <c r="Z33" i="1"/>
  <c r="AB33" i="1"/>
  <c r="AC33" i="1"/>
  <c r="AD33" i="1"/>
  <c r="AE33" i="1"/>
  <c r="AF33" i="1"/>
  <c r="AG33" i="1"/>
  <c r="AH33" i="1"/>
  <c r="AJ33" i="1"/>
  <c r="AK33" i="1"/>
  <c r="AL33" i="1"/>
  <c r="AO33" i="1"/>
  <c r="AP33" i="1"/>
  <c r="AV33" i="1"/>
  <c r="AW33" i="1"/>
  <c r="AX33" i="1"/>
  <c r="BC33" i="1"/>
  <c r="BD33" i="1"/>
  <c r="BF33" i="1"/>
  <c r="BH33" i="1"/>
  <c r="BI33" i="1"/>
  <c r="BJ33" i="1"/>
  <c r="I34" i="1"/>
  <c r="J34" i="1"/>
  <c r="K34" i="1"/>
  <c r="Z34" i="1"/>
  <c r="AB34" i="1"/>
  <c r="AC34" i="1"/>
  <c r="AD34" i="1"/>
  <c r="AE34" i="1"/>
  <c r="AF34" i="1"/>
  <c r="AG34" i="1"/>
  <c r="AH34" i="1"/>
  <c r="AJ34" i="1"/>
  <c r="AK34" i="1"/>
  <c r="AL34" i="1"/>
  <c r="AO34" i="1"/>
  <c r="AP34" i="1"/>
  <c r="AV34" i="1"/>
  <c r="AW34" i="1"/>
  <c r="AX34" i="1"/>
  <c r="BC34" i="1"/>
  <c r="BD34" i="1"/>
  <c r="BF34" i="1"/>
  <c r="BH34" i="1"/>
  <c r="BI34" i="1"/>
  <c r="BJ34" i="1"/>
  <c r="I35" i="1"/>
  <c r="J35" i="1"/>
  <c r="K35" i="1"/>
  <c r="Z35" i="1"/>
  <c r="AB35" i="1"/>
  <c r="AC35" i="1"/>
  <c r="AD35" i="1"/>
  <c r="AE35" i="1"/>
  <c r="AF35" i="1"/>
  <c r="AG35" i="1"/>
  <c r="AH35" i="1"/>
  <c r="AJ35" i="1"/>
  <c r="AK35" i="1"/>
  <c r="AL35" i="1"/>
  <c r="AO35" i="1"/>
  <c r="AP35" i="1"/>
  <c r="AV35" i="1"/>
  <c r="AW35" i="1"/>
  <c r="AX35" i="1"/>
  <c r="BC35" i="1"/>
  <c r="BD35" i="1"/>
  <c r="BF35" i="1"/>
  <c r="BH35" i="1"/>
  <c r="BI35" i="1"/>
  <c r="BJ35" i="1"/>
  <c r="I36" i="1"/>
  <c r="J36" i="1"/>
  <c r="K36" i="1"/>
  <c r="Z36" i="1"/>
  <c r="AB36" i="1"/>
  <c r="AC36" i="1"/>
  <c r="AD36" i="1"/>
  <c r="AE36" i="1"/>
  <c r="AF36" i="1"/>
  <c r="AG36" i="1"/>
  <c r="AH36" i="1"/>
  <c r="AJ36" i="1"/>
  <c r="AK36" i="1"/>
  <c r="AL36" i="1"/>
  <c r="AO36" i="1"/>
  <c r="AP36" i="1"/>
  <c r="AV36" i="1"/>
  <c r="AW36" i="1"/>
  <c r="AX36" i="1"/>
  <c r="BC36" i="1"/>
  <c r="BD36" i="1"/>
  <c r="BF36" i="1"/>
  <c r="BH36" i="1"/>
  <c r="BI36" i="1"/>
  <c r="BJ36" i="1"/>
  <c r="I37" i="1"/>
  <c r="J37" i="1"/>
  <c r="K37" i="1"/>
  <c r="Z37" i="1"/>
  <c r="AB37" i="1"/>
  <c r="AC37" i="1"/>
  <c r="AD37" i="1"/>
  <c r="AE37" i="1"/>
  <c r="AF37" i="1"/>
  <c r="AG37" i="1"/>
  <c r="AH37" i="1"/>
  <c r="AJ37" i="1"/>
  <c r="AK37" i="1"/>
  <c r="AL37" i="1"/>
  <c r="AO37" i="1"/>
  <c r="AP37" i="1"/>
  <c r="AV37" i="1"/>
  <c r="AW37" i="1"/>
  <c r="AX37" i="1"/>
  <c r="BC37" i="1"/>
  <c r="BD37" i="1"/>
  <c r="BF37" i="1"/>
  <c r="BH37" i="1"/>
  <c r="BI37" i="1"/>
  <c r="BJ37" i="1"/>
  <c r="I38" i="1"/>
  <c r="J38" i="1"/>
  <c r="K38" i="1"/>
  <c r="AS38" i="1"/>
  <c r="AT38" i="1"/>
  <c r="AU38" i="1"/>
  <c r="I39" i="1"/>
  <c r="J39" i="1"/>
  <c r="K39" i="1"/>
  <c r="Z39" i="1"/>
  <c r="AB39" i="1"/>
  <c r="AC39" i="1"/>
  <c r="AD39" i="1"/>
  <c r="AE39" i="1"/>
  <c r="AF39" i="1"/>
  <c r="AG39" i="1"/>
  <c r="AH39" i="1"/>
  <c r="AJ39" i="1"/>
  <c r="AK39" i="1"/>
  <c r="AL39" i="1"/>
  <c r="AO39" i="1"/>
  <c r="AP39" i="1"/>
  <c r="AV39" i="1"/>
  <c r="AW39" i="1"/>
  <c r="AX39" i="1"/>
  <c r="BC39" i="1"/>
  <c r="BD39" i="1"/>
  <c r="BF39" i="1"/>
  <c r="BH39" i="1"/>
  <c r="BI39" i="1"/>
  <c r="BJ39" i="1"/>
  <c r="I40" i="1"/>
  <c r="J40" i="1"/>
  <c r="K40" i="1"/>
  <c r="AS40" i="1"/>
  <c r="AT40" i="1"/>
  <c r="AU40" i="1"/>
  <c r="I41" i="1"/>
  <c r="J41" i="1"/>
  <c r="K41" i="1"/>
  <c r="Z41" i="1"/>
  <c r="AB41" i="1"/>
  <c r="AC41" i="1"/>
  <c r="AD41" i="1"/>
  <c r="AE41" i="1"/>
  <c r="AF41" i="1"/>
  <c r="AG41" i="1"/>
  <c r="AH41" i="1"/>
  <c r="AJ41" i="1"/>
  <c r="AK41" i="1"/>
  <c r="AL41" i="1"/>
  <c r="AO41" i="1"/>
  <c r="AP41" i="1"/>
  <c r="AV41" i="1"/>
  <c r="AW41" i="1"/>
  <c r="AX41" i="1"/>
  <c r="BC41" i="1"/>
  <c r="BD41" i="1"/>
  <c r="BF41" i="1"/>
  <c r="BH41" i="1"/>
  <c r="BI41" i="1"/>
  <c r="BJ41" i="1"/>
  <c r="I42" i="1"/>
  <c r="J42" i="1"/>
  <c r="K42" i="1"/>
  <c r="Z42" i="1"/>
  <c r="AB42" i="1"/>
  <c r="AC42" i="1"/>
  <c r="AD42" i="1"/>
  <c r="AE42" i="1"/>
  <c r="AF42" i="1"/>
  <c r="AG42" i="1"/>
  <c r="AH42" i="1"/>
  <c r="AJ42" i="1"/>
  <c r="AK42" i="1"/>
  <c r="AL42" i="1"/>
  <c r="AO42" i="1"/>
  <c r="AP42" i="1"/>
  <c r="AV42" i="1"/>
  <c r="AW42" i="1"/>
  <c r="AX42" i="1"/>
  <c r="BC42" i="1"/>
  <c r="BD42" i="1"/>
  <c r="BF42" i="1"/>
  <c r="BH42" i="1"/>
  <c r="BI42" i="1"/>
  <c r="BJ42" i="1"/>
  <c r="I43" i="1"/>
  <c r="J43" i="1"/>
  <c r="K43" i="1"/>
  <c r="AS43" i="1"/>
  <c r="AT43" i="1"/>
  <c r="AU43" i="1"/>
  <c r="I44" i="1"/>
  <c r="J44" i="1"/>
  <c r="K44" i="1"/>
  <c r="Z44" i="1"/>
  <c r="AB44" i="1"/>
  <c r="AC44" i="1"/>
  <c r="AD44" i="1"/>
  <c r="AE44" i="1"/>
  <c r="AF44" i="1"/>
  <c r="AG44" i="1"/>
  <c r="AH44" i="1"/>
  <c r="AJ44" i="1"/>
  <c r="AK44" i="1"/>
  <c r="AL44" i="1"/>
  <c r="AO44" i="1"/>
  <c r="AP44" i="1"/>
  <c r="AV44" i="1"/>
  <c r="AW44" i="1"/>
  <c r="AX44" i="1"/>
  <c r="BC44" i="1"/>
  <c r="BD44" i="1"/>
  <c r="BF44" i="1"/>
  <c r="BH44" i="1"/>
  <c r="BI44" i="1"/>
  <c r="BJ44" i="1"/>
  <c r="I45" i="1"/>
  <c r="J45" i="1"/>
  <c r="K45" i="1"/>
  <c r="Z45" i="1"/>
  <c r="AB45" i="1"/>
  <c r="AC45" i="1"/>
  <c r="AD45" i="1"/>
  <c r="AE45" i="1"/>
  <c r="AF45" i="1"/>
  <c r="AG45" i="1"/>
  <c r="AH45" i="1"/>
  <c r="AJ45" i="1"/>
  <c r="AK45" i="1"/>
  <c r="AL45" i="1"/>
  <c r="AO45" i="1"/>
  <c r="AP45" i="1"/>
  <c r="AV45" i="1"/>
  <c r="AW45" i="1"/>
  <c r="AX45" i="1"/>
  <c r="BC45" i="1"/>
  <c r="BD45" i="1"/>
  <c r="BF45" i="1"/>
  <c r="BH45" i="1"/>
  <c r="BI45" i="1"/>
  <c r="BJ45" i="1"/>
  <c r="I46" i="1"/>
  <c r="J46" i="1"/>
  <c r="K46" i="1"/>
  <c r="Z46" i="1"/>
  <c r="AB46" i="1"/>
  <c r="AC46" i="1"/>
  <c r="AD46" i="1"/>
  <c r="AE46" i="1"/>
  <c r="AF46" i="1"/>
  <c r="AG46" i="1"/>
  <c r="AH46" i="1"/>
  <c r="AJ46" i="1"/>
  <c r="AK46" i="1"/>
  <c r="AL46" i="1"/>
  <c r="AO46" i="1"/>
  <c r="AP46" i="1"/>
  <c r="AV46" i="1"/>
  <c r="AW46" i="1"/>
  <c r="AX46" i="1"/>
  <c r="BC46" i="1"/>
  <c r="BD46" i="1"/>
  <c r="BF46" i="1"/>
  <c r="BH46" i="1"/>
  <c r="BI46" i="1"/>
  <c r="BJ46" i="1"/>
  <c r="I47" i="1"/>
  <c r="J47" i="1"/>
  <c r="K47" i="1"/>
  <c r="Z47" i="1"/>
  <c r="AB47" i="1"/>
  <c r="AC47" i="1"/>
  <c r="AD47" i="1"/>
  <c r="AE47" i="1"/>
  <c r="AF47" i="1"/>
  <c r="AG47" i="1"/>
  <c r="AH47" i="1"/>
  <c r="AJ47" i="1"/>
  <c r="AK47" i="1"/>
  <c r="AL47" i="1"/>
  <c r="AO47" i="1"/>
  <c r="AP47" i="1"/>
  <c r="AV47" i="1"/>
  <c r="AW47" i="1"/>
  <c r="AX47" i="1"/>
  <c r="BC47" i="1"/>
  <c r="BD47" i="1"/>
  <c r="BF47" i="1"/>
  <c r="BH47" i="1"/>
  <c r="BI47" i="1"/>
  <c r="BJ47" i="1"/>
  <c r="I48" i="1"/>
  <c r="J48" i="1"/>
  <c r="K48" i="1"/>
  <c r="Z48" i="1"/>
  <c r="AB48" i="1"/>
  <c r="AC48" i="1"/>
  <c r="AD48" i="1"/>
  <c r="AE48" i="1"/>
  <c r="AF48" i="1"/>
  <c r="AG48" i="1"/>
  <c r="AH48" i="1"/>
  <c r="AJ48" i="1"/>
  <c r="AK48" i="1"/>
  <c r="AL48" i="1"/>
  <c r="AO48" i="1"/>
  <c r="AP48" i="1"/>
  <c r="AV48" i="1"/>
  <c r="AW48" i="1"/>
  <c r="AX48" i="1"/>
  <c r="BC48" i="1"/>
  <c r="BD48" i="1"/>
  <c r="BF48" i="1"/>
  <c r="BH48" i="1"/>
  <c r="BI48" i="1"/>
  <c r="BJ48" i="1"/>
  <c r="I49" i="1"/>
  <c r="J49" i="1"/>
  <c r="K49" i="1"/>
  <c r="Z49" i="1"/>
  <c r="AB49" i="1"/>
  <c r="AC49" i="1"/>
  <c r="AD49" i="1"/>
  <c r="AE49" i="1"/>
  <c r="AF49" i="1"/>
  <c r="AG49" i="1"/>
  <c r="AH49" i="1"/>
  <c r="AJ49" i="1"/>
  <c r="AK49" i="1"/>
  <c r="AL49" i="1"/>
  <c r="AO49" i="1"/>
  <c r="AP49" i="1"/>
  <c r="AV49" i="1"/>
  <c r="AW49" i="1"/>
  <c r="AX49" i="1"/>
  <c r="BC49" i="1"/>
  <c r="BD49" i="1"/>
  <c r="BF49" i="1"/>
  <c r="BH49" i="1"/>
  <c r="BI49" i="1"/>
  <c r="BJ49" i="1"/>
  <c r="I50" i="1"/>
  <c r="J50" i="1"/>
  <c r="K50" i="1"/>
  <c r="Z50" i="1"/>
  <c r="AB50" i="1"/>
  <c r="AC50" i="1"/>
  <c r="AD50" i="1"/>
  <c r="AE50" i="1"/>
  <c r="AF50" i="1"/>
  <c r="AG50" i="1"/>
  <c r="AH50" i="1"/>
  <c r="AJ50" i="1"/>
  <c r="AK50" i="1"/>
  <c r="AL50" i="1"/>
  <c r="AO50" i="1"/>
  <c r="AP50" i="1"/>
  <c r="AV50" i="1"/>
  <c r="AW50" i="1"/>
  <c r="AX50" i="1"/>
  <c r="BC50" i="1"/>
  <c r="BD50" i="1"/>
  <c r="BF50" i="1"/>
  <c r="BH50" i="1"/>
  <c r="BI50" i="1"/>
  <c r="BJ50" i="1"/>
  <c r="I51" i="1"/>
  <c r="J51" i="1"/>
  <c r="K51" i="1"/>
  <c r="Z51" i="1"/>
  <c r="AB51" i="1"/>
  <c r="AC51" i="1"/>
  <c r="AD51" i="1"/>
  <c r="AE51" i="1"/>
  <c r="AF51" i="1"/>
  <c r="AG51" i="1"/>
  <c r="AH51" i="1"/>
  <c r="AJ51" i="1"/>
  <c r="AK51" i="1"/>
  <c r="AL51" i="1"/>
  <c r="AO51" i="1"/>
  <c r="AP51" i="1"/>
  <c r="AV51" i="1"/>
  <c r="AW51" i="1"/>
  <c r="AX51" i="1"/>
  <c r="BC51" i="1"/>
  <c r="BD51" i="1"/>
  <c r="BF51" i="1"/>
  <c r="BH51" i="1"/>
  <c r="BI51" i="1"/>
  <c r="BJ51" i="1"/>
  <c r="I52" i="1"/>
  <c r="J52" i="1"/>
  <c r="K52" i="1"/>
  <c r="Z52" i="1"/>
  <c r="AB52" i="1"/>
  <c r="AC52" i="1"/>
  <c r="AD52" i="1"/>
  <c r="AE52" i="1"/>
  <c r="AF52" i="1"/>
  <c r="AG52" i="1"/>
  <c r="AH52" i="1"/>
  <c r="AJ52" i="1"/>
  <c r="AK52" i="1"/>
  <c r="AL52" i="1"/>
  <c r="AO52" i="1"/>
  <c r="AP52" i="1"/>
  <c r="AV52" i="1"/>
  <c r="AW52" i="1"/>
  <c r="AX52" i="1"/>
  <c r="BC52" i="1"/>
  <c r="BD52" i="1"/>
  <c r="BF52" i="1"/>
  <c r="BH52" i="1"/>
  <c r="BI52" i="1"/>
  <c r="BJ52" i="1"/>
  <c r="I53" i="1"/>
  <c r="J53" i="1"/>
  <c r="K53" i="1"/>
  <c r="Z53" i="1"/>
  <c r="AB53" i="1"/>
  <c r="AC53" i="1"/>
  <c r="AD53" i="1"/>
  <c r="AE53" i="1"/>
  <c r="AF53" i="1"/>
  <c r="AG53" i="1"/>
  <c r="AH53" i="1"/>
  <c r="AJ53" i="1"/>
  <c r="AK53" i="1"/>
  <c r="AL53" i="1"/>
  <c r="AO53" i="1"/>
  <c r="AP53" i="1"/>
  <c r="AV53" i="1"/>
  <c r="AW53" i="1"/>
  <c r="AX53" i="1"/>
  <c r="BC53" i="1"/>
  <c r="BD53" i="1"/>
  <c r="BF53" i="1"/>
  <c r="BH53" i="1"/>
  <c r="BI53" i="1"/>
  <c r="BJ53" i="1"/>
  <c r="I54" i="1"/>
  <c r="J54" i="1"/>
  <c r="K54" i="1"/>
  <c r="Z54" i="1"/>
  <c r="AB54" i="1"/>
  <c r="AC54" i="1"/>
  <c r="AD54" i="1"/>
  <c r="AE54" i="1"/>
  <c r="AF54" i="1"/>
  <c r="AG54" i="1"/>
  <c r="AH54" i="1"/>
  <c r="AJ54" i="1"/>
  <c r="AK54" i="1"/>
  <c r="AL54" i="1"/>
  <c r="AO54" i="1"/>
  <c r="AP54" i="1"/>
  <c r="AV54" i="1"/>
  <c r="AW54" i="1"/>
  <c r="AX54" i="1"/>
  <c r="BC54" i="1"/>
  <c r="BD54" i="1"/>
  <c r="BF54" i="1"/>
  <c r="BH54" i="1"/>
  <c r="BI54" i="1"/>
  <c r="BJ54" i="1"/>
  <c r="I55" i="1"/>
  <c r="J55" i="1"/>
  <c r="K55" i="1"/>
  <c r="Z55" i="1"/>
  <c r="AB55" i="1"/>
  <c r="AC55" i="1"/>
  <c r="AD55" i="1"/>
  <c r="AE55" i="1"/>
  <c r="AF55" i="1"/>
  <c r="AG55" i="1"/>
  <c r="AH55" i="1"/>
  <c r="AJ55" i="1"/>
  <c r="AK55" i="1"/>
  <c r="AL55" i="1"/>
  <c r="AO55" i="1"/>
  <c r="AP55" i="1"/>
  <c r="AV55" i="1"/>
  <c r="AW55" i="1"/>
  <c r="AX55" i="1"/>
  <c r="BC55" i="1"/>
  <c r="BD55" i="1"/>
  <c r="BF55" i="1"/>
  <c r="BH55" i="1"/>
  <c r="BI55" i="1"/>
  <c r="BJ55" i="1"/>
  <c r="I56" i="1"/>
  <c r="J56" i="1"/>
  <c r="K56" i="1"/>
  <c r="Z56" i="1"/>
  <c r="AB56" i="1"/>
  <c r="AC56" i="1"/>
  <c r="AD56" i="1"/>
  <c r="AE56" i="1"/>
  <c r="AF56" i="1"/>
  <c r="AG56" i="1"/>
  <c r="AH56" i="1"/>
  <c r="AJ56" i="1"/>
  <c r="AK56" i="1"/>
  <c r="AL56" i="1"/>
  <c r="AO56" i="1"/>
  <c r="AP56" i="1"/>
  <c r="AV56" i="1"/>
  <c r="AW56" i="1"/>
  <c r="AX56" i="1"/>
  <c r="BC56" i="1"/>
  <c r="BD56" i="1"/>
  <c r="BF56" i="1"/>
  <c r="BH56" i="1"/>
  <c r="BI56" i="1"/>
  <c r="BJ56" i="1"/>
  <c r="I57" i="1"/>
  <c r="J57" i="1"/>
  <c r="K57" i="1"/>
  <c r="Z57" i="1"/>
  <c r="AB57" i="1"/>
  <c r="AC57" i="1"/>
  <c r="AD57" i="1"/>
  <c r="AE57" i="1"/>
  <c r="AF57" i="1"/>
  <c r="AG57" i="1"/>
  <c r="AH57" i="1"/>
  <c r="AJ57" i="1"/>
  <c r="AK57" i="1"/>
  <c r="AL57" i="1"/>
  <c r="AO57" i="1"/>
  <c r="AP57" i="1"/>
  <c r="AV57" i="1"/>
  <c r="AW57" i="1"/>
  <c r="AX57" i="1"/>
  <c r="BC57" i="1"/>
  <c r="BD57" i="1"/>
  <c r="BF57" i="1"/>
  <c r="BH57" i="1"/>
  <c r="BI57" i="1"/>
  <c r="BJ57" i="1"/>
  <c r="I58" i="1"/>
  <c r="J58" i="1"/>
  <c r="K58" i="1"/>
  <c r="AS58" i="1"/>
  <c r="AT58" i="1"/>
  <c r="AU58" i="1"/>
  <c r="I59" i="1"/>
  <c r="J59" i="1"/>
  <c r="K59" i="1"/>
  <c r="Z59" i="1"/>
  <c r="AB59" i="1"/>
  <c r="AC59" i="1"/>
  <c r="AD59" i="1"/>
  <c r="AE59" i="1"/>
  <c r="AF59" i="1"/>
  <c r="AG59" i="1"/>
  <c r="AH59" i="1"/>
  <c r="AJ59" i="1"/>
  <c r="AK59" i="1"/>
  <c r="AL59" i="1"/>
  <c r="AO59" i="1"/>
  <c r="AP59" i="1"/>
  <c r="AV59" i="1"/>
  <c r="AW59" i="1"/>
  <c r="AX59" i="1"/>
  <c r="BC59" i="1"/>
  <c r="BD59" i="1"/>
  <c r="BF59" i="1"/>
  <c r="BH59" i="1"/>
  <c r="BI59" i="1"/>
  <c r="BJ59" i="1"/>
  <c r="I60" i="1"/>
  <c r="J60" i="1"/>
  <c r="K60" i="1"/>
  <c r="Z60" i="1"/>
  <c r="AB60" i="1"/>
  <c r="AC60" i="1"/>
  <c r="AD60" i="1"/>
  <c r="AE60" i="1"/>
  <c r="AF60" i="1"/>
  <c r="AG60" i="1"/>
  <c r="AH60" i="1"/>
  <c r="AJ60" i="1"/>
  <c r="AK60" i="1"/>
  <c r="AL60" i="1"/>
  <c r="AO60" i="1"/>
  <c r="AP60" i="1"/>
  <c r="AV60" i="1"/>
  <c r="AW60" i="1"/>
  <c r="AX60" i="1"/>
  <c r="BC60" i="1"/>
  <c r="BD60" i="1"/>
  <c r="BF60" i="1"/>
  <c r="BH60" i="1"/>
  <c r="BI60" i="1"/>
  <c r="BJ60" i="1"/>
  <c r="I61" i="1"/>
  <c r="J61" i="1"/>
  <c r="K61" i="1"/>
  <c r="Z61" i="1"/>
  <c r="AB61" i="1"/>
  <c r="AC61" i="1"/>
  <c r="AD61" i="1"/>
  <c r="AE61" i="1"/>
  <c r="AF61" i="1"/>
  <c r="AG61" i="1"/>
  <c r="AH61" i="1"/>
  <c r="AJ61" i="1"/>
  <c r="AK61" i="1"/>
  <c r="AL61" i="1"/>
  <c r="AO61" i="1"/>
  <c r="AP61" i="1"/>
  <c r="AV61" i="1"/>
  <c r="AW61" i="1"/>
  <c r="AX61" i="1"/>
  <c r="BC61" i="1"/>
  <c r="BD61" i="1"/>
  <c r="BF61" i="1"/>
  <c r="BH61" i="1"/>
  <c r="BI61" i="1"/>
  <c r="BJ61" i="1"/>
  <c r="I62" i="1"/>
  <c r="J62" i="1"/>
  <c r="K62" i="1"/>
  <c r="Z62" i="1"/>
  <c r="AB62" i="1"/>
  <c r="AC62" i="1"/>
  <c r="AD62" i="1"/>
  <c r="AE62" i="1"/>
  <c r="AF62" i="1"/>
  <c r="AG62" i="1"/>
  <c r="AH62" i="1"/>
  <c r="AJ62" i="1"/>
  <c r="AK62" i="1"/>
  <c r="AL62" i="1"/>
  <c r="AO62" i="1"/>
  <c r="AP62" i="1"/>
  <c r="AV62" i="1"/>
  <c r="AW62" i="1"/>
  <c r="AX62" i="1"/>
  <c r="BC62" i="1"/>
  <c r="BD62" i="1"/>
  <c r="BF62" i="1"/>
  <c r="BH62" i="1"/>
  <c r="BI62" i="1"/>
  <c r="BJ62" i="1"/>
  <c r="I63" i="1"/>
  <c r="J63" i="1"/>
  <c r="K63" i="1"/>
  <c r="Z63" i="1"/>
  <c r="AB63" i="1"/>
  <c r="AC63" i="1"/>
  <c r="AD63" i="1"/>
  <c r="AE63" i="1"/>
  <c r="AF63" i="1"/>
  <c r="AG63" i="1"/>
  <c r="AH63" i="1"/>
  <c r="AJ63" i="1"/>
  <c r="AK63" i="1"/>
  <c r="AL63" i="1"/>
  <c r="AO63" i="1"/>
  <c r="AP63" i="1"/>
  <c r="AV63" i="1"/>
  <c r="AW63" i="1"/>
  <c r="AX63" i="1"/>
  <c r="BC63" i="1"/>
  <c r="BD63" i="1"/>
  <c r="BF63" i="1"/>
  <c r="BH63" i="1"/>
  <c r="BI63" i="1"/>
  <c r="BJ63" i="1"/>
  <c r="I64" i="1"/>
  <c r="J64" i="1"/>
  <c r="K64" i="1"/>
  <c r="Z64" i="1"/>
  <c r="AB64" i="1"/>
  <c r="AC64" i="1"/>
  <c r="AD64" i="1"/>
  <c r="AE64" i="1"/>
  <c r="AF64" i="1"/>
  <c r="AG64" i="1"/>
  <c r="AH64" i="1"/>
  <c r="AJ64" i="1"/>
  <c r="AK64" i="1"/>
  <c r="AL64" i="1"/>
  <c r="AO64" i="1"/>
  <c r="AP64" i="1"/>
  <c r="AV64" i="1"/>
  <c r="AW64" i="1"/>
  <c r="AX64" i="1"/>
  <c r="BC64" i="1"/>
  <c r="BD64" i="1"/>
  <c r="BF64" i="1"/>
  <c r="BH64" i="1"/>
  <c r="BI64" i="1"/>
  <c r="BJ64" i="1"/>
  <c r="I65" i="1"/>
  <c r="J65" i="1"/>
  <c r="K65" i="1"/>
  <c r="Z65" i="1"/>
  <c r="AB65" i="1"/>
  <c r="AC65" i="1"/>
  <c r="AD65" i="1"/>
  <c r="AE65" i="1"/>
  <c r="AF65" i="1"/>
  <c r="AG65" i="1"/>
  <c r="AH65" i="1"/>
  <c r="AJ65" i="1"/>
  <c r="AK65" i="1"/>
  <c r="AL65" i="1"/>
  <c r="AO65" i="1"/>
  <c r="AP65" i="1"/>
  <c r="AV65" i="1"/>
  <c r="AW65" i="1"/>
  <c r="AX65" i="1"/>
  <c r="BC65" i="1"/>
  <c r="BD65" i="1"/>
  <c r="BF65" i="1"/>
  <c r="BH65" i="1"/>
  <c r="BI65" i="1"/>
  <c r="BJ65" i="1"/>
  <c r="I66" i="1"/>
  <c r="J66" i="1"/>
  <c r="K66" i="1"/>
  <c r="Z66" i="1"/>
  <c r="AB66" i="1"/>
  <c r="AC66" i="1"/>
  <c r="AD66" i="1"/>
  <c r="AE66" i="1"/>
  <c r="AF66" i="1"/>
  <c r="AG66" i="1"/>
  <c r="AH66" i="1"/>
  <c r="AJ66" i="1"/>
  <c r="AK66" i="1"/>
  <c r="AL66" i="1"/>
  <c r="AO66" i="1"/>
  <c r="AP66" i="1"/>
  <c r="AV66" i="1"/>
  <c r="AW66" i="1"/>
  <c r="AX66" i="1"/>
  <c r="BC66" i="1"/>
  <c r="BD66" i="1"/>
  <c r="BF66" i="1"/>
  <c r="BH66" i="1"/>
  <c r="BI66" i="1"/>
  <c r="BJ66" i="1"/>
  <c r="I67" i="1"/>
  <c r="J67" i="1"/>
  <c r="K67" i="1"/>
  <c r="Z67" i="1"/>
  <c r="AB67" i="1"/>
  <c r="AC67" i="1"/>
  <c r="AD67" i="1"/>
  <c r="AE67" i="1"/>
  <c r="AF67" i="1"/>
  <c r="AG67" i="1"/>
  <c r="AH67" i="1"/>
  <c r="AJ67" i="1"/>
  <c r="AK67" i="1"/>
  <c r="AL67" i="1"/>
  <c r="AO67" i="1"/>
  <c r="AP67" i="1"/>
  <c r="AV67" i="1"/>
  <c r="AW67" i="1"/>
  <c r="AX67" i="1"/>
  <c r="BC67" i="1"/>
  <c r="BD67" i="1"/>
  <c r="BF67" i="1"/>
  <c r="BH67" i="1"/>
  <c r="BI67" i="1"/>
  <c r="BJ67" i="1"/>
  <c r="I68" i="1"/>
  <c r="J68" i="1"/>
  <c r="K68" i="1"/>
  <c r="Z68" i="1"/>
  <c r="AB68" i="1"/>
  <c r="AC68" i="1"/>
  <c r="AD68" i="1"/>
  <c r="AE68" i="1"/>
  <c r="AF68" i="1"/>
  <c r="AG68" i="1"/>
  <c r="AH68" i="1"/>
  <c r="AJ68" i="1"/>
  <c r="AK68" i="1"/>
  <c r="AL68" i="1"/>
  <c r="AO68" i="1"/>
  <c r="AP68" i="1"/>
  <c r="AV68" i="1"/>
  <c r="AW68" i="1"/>
  <c r="AX68" i="1"/>
  <c r="BC68" i="1"/>
  <c r="BD68" i="1"/>
  <c r="BF68" i="1"/>
  <c r="BH68" i="1"/>
  <c r="BI68" i="1"/>
  <c r="BJ68" i="1"/>
  <c r="I69" i="1"/>
  <c r="J69" i="1"/>
  <c r="K69" i="1"/>
  <c r="Z69" i="1"/>
  <c r="AB69" i="1"/>
  <c r="AC69" i="1"/>
  <c r="AD69" i="1"/>
  <c r="AE69" i="1"/>
  <c r="AF69" i="1"/>
  <c r="AG69" i="1"/>
  <c r="AH69" i="1"/>
  <c r="AJ69" i="1"/>
  <c r="AK69" i="1"/>
  <c r="AL69" i="1"/>
  <c r="AO69" i="1"/>
  <c r="AP69" i="1"/>
  <c r="AV69" i="1"/>
  <c r="AW69" i="1"/>
  <c r="AX69" i="1"/>
  <c r="BC69" i="1"/>
  <c r="BD69" i="1"/>
  <c r="BF69" i="1"/>
  <c r="BH69" i="1"/>
  <c r="BI69" i="1"/>
  <c r="BJ69" i="1"/>
  <c r="I70" i="1"/>
  <c r="J70" i="1"/>
  <c r="K70" i="1"/>
  <c r="Z70" i="1"/>
  <c r="AB70" i="1"/>
  <c r="AC70" i="1"/>
  <c r="AD70" i="1"/>
  <c r="AE70" i="1"/>
  <c r="AF70" i="1"/>
  <c r="AG70" i="1"/>
  <c r="AH70" i="1"/>
  <c r="AJ70" i="1"/>
  <c r="AK70" i="1"/>
  <c r="AL70" i="1"/>
  <c r="AO70" i="1"/>
  <c r="AP70" i="1"/>
  <c r="AV70" i="1"/>
  <c r="AW70" i="1"/>
  <c r="AX70" i="1"/>
  <c r="BC70" i="1"/>
  <c r="BD70" i="1"/>
  <c r="BF70" i="1"/>
  <c r="BH70" i="1"/>
  <c r="BI70" i="1"/>
  <c r="BJ70" i="1"/>
  <c r="I71" i="1"/>
  <c r="J71" i="1"/>
  <c r="K71" i="1"/>
  <c r="Z71" i="1"/>
  <c r="AB71" i="1"/>
  <c r="AC71" i="1"/>
  <c r="AD71" i="1"/>
  <c r="AE71" i="1"/>
  <c r="AF71" i="1"/>
  <c r="AG71" i="1"/>
  <c r="AH71" i="1"/>
  <c r="AJ71" i="1"/>
  <c r="AK71" i="1"/>
  <c r="AL71" i="1"/>
  <c r="AO71" i="1"/>
  <c r="AP71" i="1"/>
  <c r="AV71" i="1"/>
  <c r="AW71" i="1"/>
  <c r="AX71" i="1"/>
  <c r="BC71" i="1"/>
  <c r="BD71" i="1"/>
  <c r="BF71" i="1"/>
  <c r="BH71" i="1"/>
  <c r="BI71" i="1"/>
  <c r="BJ71" i="1"/>
  <c r="I72" i="1"/>
  <c r="J72" i="1"/>
  <c r="K72" i="1"/>
  <c r="Z72" i="1"/>
  <c r="AB72" i="1"/>
  <c r="AC72" i="1"/>
  <c r="AD72" i="1"/>
  <c r="AE72" i="1"/>
  <c r="AF72" i="1"/>
  <c r="AG72" i="1"/>
  <c r="AH72" i="1"/>
  <c r="AJ72" i="1"/>
  <c r="AK72" i="1"/>
  <c r="AL72" i="1"/>
  <c r="AO72" i="1"/>
  <c r="AP72" i="1"/>
  <c r="AV72" i="1"/>
  <c r="AW72" i="1"/>
  <c r="AX72" i="1"/>
  <c r="BC72" i="1"/>
  <c r="BD72" i="1"/>
  <c r="BF72" i="1"/>
  <c r="BH72" i="1"/>
  <c r="BI72" i="1"/>
  <c r="BJ72" i="1"/>
  <c r="I73" i="1"/>
  <c r="J73" i="1"/>
  <c r="K73" i="1"/>
  <c r="Z73" i="1"/>
  <c r="AB73" i="1"/>
  <c r="AC73" i="1"/>
  <c r="AD73" i="1"/>
  <c r="AE73" i="1"/>
  <c r="AF73" i="1"/>
  <c r="AG73" i="1"/>
  <c r="AH73" i="1"/>
  <c r="AJ73" i="1"/>
  <c r="AK73" i="1"/>
  <c r="AL73" i="1"/>
  <c r="AO73" i="1"/>
  <c r="AP73" i="1"/>
  <c r="AV73" i="1"/>
  <c r="AW73" i="1"/>
  <c r="AX73" i="1"/>
  <c r="BC73" i="1"/>
  <c r="BD73" i="1"/>
  <c r="BF73" i="1"/>
  <c r="BH73" i="1"/>
  <c r="BI73" i="1"/>
  <c r="BJ73" i="1"/>
  <c r="I74" i="1"/>
  <c r="J74" i="1"/>
  <c r="K74" i="1"/>
  <c r="Z74" i="1"/>
  <c r="AB74" i="1"/>
  <c r="AC74" i="1"/>
  <c r="AD74" i="1"/>
  <c r="AE74" i="1"/>
  <c r="AF74" i="1"/>
  <c r="AG74" i="1"/>
  <c r="AH74" i="1"/>
  <c r="AJ74" i="1"/>
  <c r="AK74" i="1"/>
  <c r="AL74" i="1"/>
  <c r="AO74" i="1"/>
  <c r="AP74" i="1"/>
  <c r="AV74" i="1"/>
  <c r="AW74" i="1"/>
  <c r="AX74" i="1"/>
  <c r="BC74" i="1"/>
  <c r="BD74" i="1"/>
  <c r="BF74" i="1"/>
  <c r="BH74" i="1"/>
  <c r="BI74" i="1"/>
  <c r="BJ74" i="1"/>
  <c r="I75" i="1"/>
  <c r="J75" i="1"/>
  <c r="K75" i="1"/>
  <c r="Z75" i="1"/>
  <c r="AB75" i="1"/>
  <c r="AC75" i="1"/>
  <c r="AD75" i="1"/>
  <c r="AE75" i="1"/>
  <c r="AF75" i="1"/>
  <c r="AG75" i="1"/>
  <c r="AH75" i="1"/>
  <c r="AJ75" i="1"/>
  <c r="AK75" i="1"/>
  <c r="AL75" i="1"/>
  <c r="AO75" i="1"/>
  <c r="AP75" i="1"/>
  <c r="AV75" i="1"/>
  <c r="AW75" i="1"/>
  <c r="AX75" i="1"/>
  <c r="BC75" i="1"/>
  <c r="BD75" i="1"/>
  <c r="BF75" i="1"/>
  <c r="BH75" i="1"/>
  <c r="BI75" i="1"/>
  <c r="BJ75" i="1"/>
  <c r="I76" i="1"/>
  <c r="J76" i="1"/>
  <c r="K76" i="1"/>
  <c r="Z76" i="1"/>
  <c r="AB76" i="1"/>
  <c r="AC76" i="1"/>
  <c r="AD76" i="1"/>
  <c r="AE76" i="1"/>
  <c r="AF76" i="1"/>
  <c r="AG76" i="1"/>
  <c r="AH76" i="1"/>
  <c r="AJ76" i="1"/>
  <c r="AK76" i="1"/>
  <c r="AL76" i="1"/>
  <c r="AO76" i="1"/>
  <c r="AP76" i="1"/>
  <c r="AV76" i="1"/>
  <c r="AW76" i="1"/>
  <c r="AX76" i="1"/>
  <c r="BC76" i="1"/>
  <c r="BD76" i="1"/>
  <c r="BF76" i="1"/>
  <c r="BH76" i="1"/>
  <c r="BI76" i="1"/>
  <c r="BJ76" i="1"/>
  <c r="I77" i="1"/>
  <c r="J77" i="1"/>
  <c r="K77" i="1"/>
  <c r="Z77" i="1"/>
  <c r="AB77" i="1"/>
  <c r="AC77" i="1"/>
  <c r="AD77" i="1"/>
  <c r="AE77" i="1"/>
  <c r="AF77" i="1"/>
  <c r="AG77" i="1"/>
  <c r="AH77" i="1"/>
  <c r="AJ77" i="1"/>
  <c r="AK77" i="1"/>
  <c r="AL77" i="1"/>
  <c r="AO77" i="1"/>
  <c r="AP77" i="1"/>
  <c r="AV77" i="1"/>
  <c r="AW77" i="1"/>
  <c r="AX77" i="1"/>
  <c r="BC77" i="1"/>
  <c r="BD77" i="1"/>
  <c r="BF77" i="1"/>
  <c r="BH77" i="1"/>
  <c r="BI77" i="1"/>
  <c r="BJ77" i="1"/>
  <c r="I78" i="1"/>
  <c r="J78" i="1"/>
  <c r="K78" i="1"/>
  <c r="Z78" i="1"/>
  <c r="AB78" i="1"/>
  <c r="AC78" i="1"/>
  <c r="AD78" i="1"/>
  <c r="AE78" i="1"/>
  <c r="AF78" i="1"/>
  <c r="AG78" i="1"/>
  <c r="AH78" i="1"/>
  <c r="AJ78" i="1"/>
  <c r="AK78" i="1"/>
  <c r="AL78" i="1"/>
  <c r="AO78" i="1"/>
  <c r="AP78" i="1"/>
  <c r="AV78" i="1"/>
  <c r="AW78" i="1"/>
  <c r="AX78" i="1"/>
  <c r="BC78" i="1"/>
  <c r="BD78" i="1"/>
  <c r="BF78" i="1"/>
  <c r="BH78" i="1"/>
  <c r="BI78" i="1"/>
  <c r="BJ78" i="1"/>
  <c r="I79" i="1"/>
  <c r="J79" i="1"/>
  <c r="K79" i="1"/>
  <c r="Z79" i="1"/>
  <c r="AB79" i="1"/>
  <c r="AC79" i="1"/>
  <c r="AD79" i="1"/>
  <c r="AE79" i="1"/>
  <c r="AF79" i="1"/>
  <c r="AG79" i="1"/>
  <c r="AH79" i="1"/>
  <c r="AJ79" i="1"/>
  <c r="AK79" i="1"/>
  <c r="AL79" i="1"/>
  <c r="AO79" i="1"/>
  <c r="AP79" i="1"/>
  <c r="AV79" i="1"/>
  <c r="AW79" i="1"/>
  <c r="AX79" i="1"/>
  <c r="BC79" i="1"/>
  <c r="BD79" i="1"/>
  <c r="BF79" i="1"/>
  <c r="BH79" i="1"/>
  <c r="BI79" i="1"/>
  <c r="BJ79" i="1"/>
  <c r="I80" i="1"/>
  <c r="J80" i="1"/>
  <c r="K80" i="1"/>
  <c r="Z80" i="1"/>
  <c r="AB80" i="1"/>
  <c r="AC80" i="1"/>
  <c r="AD80" i="1"/>
  <c r="AE80" i="1"/>
  <c r="AF80" i="1"/>
  <c r="AG80" i="1"/>
  <c r="AH80" i="1"/>
  <c r="AJ80" i="1"/>
  <c r="AK80" i="1"/>
  <c r="AL80" i="1"/>
  <c r="AO80" i="1"/>
  <c r="AP80" i="1"/>
  <c r="AV80" i="1"/>
  <c r="AW80" i="1"/>
  <c r="AX80" i="1"/>
  <c r="BC80" i="1"/>
  <c r="BD80" i="1"/>
  <c r="BF80" i="1"/>
  <c r="BH80" i="1"/>
  <c r="BI80" i="1"/>
  <c r="BJ80" i="1"/>
  <c r="I81" i="1"/>
  <c r="J81" i="1"/>
  <c r="K81" i="1"/>
  <c r="Z81" i="1"/>
  <c r="AB81" i="1"/>
  <c r="AC81" i="1"/>
  <c r="AD81" i="1"/>
  <c r="AE81" i="1"/>
  <c r="AF81" i="1"/>
  <c r="AG81" i="1"/>
  <c r="AH81" i="1"/>
  <c r="AJ81" i="1"/>
  <c r="AK81" i="1"/>
  <c r="AL81" i="1"/>
  <c r="AO81" i="1"/>
  <c r="AP81" i="1"/>
  <c r="AV81" i="1"/>
  <c r="AW81" i="1"/>
  <c r="AX81" i="1"/>
  <c r="BC81" i="1"/>
  <c r="BD81" i="1"/>
  <c r="BF81" i="1"/>
  <c r="BH81" i="1"/>
  <c r="BI81" i="1"/>
  <c r="BJ81" i="1"/>
  <c r="I82" i="1"/>
  <c r="J82" i="1"/>
  <c r="K82" i="1"/>
  <c r="Z82" i="1"/>
  <c r="AB82" i="1"/>
  <c r="AC82" i="1"/>
  <c r="AD82" i="1"/>
  <c r="AE82" i="1"/>
  <c r="AF82" i="1"/>
  <c r="AG82" i="1"/>
  <c r="AH82" i="1"/>
  <c r="AJ82" i="1"/>
  <c r="AK82" i="1"/>
  <c r="AL82" i="1"/>
  <c r="AO82" i="1"/>
  <c r="AP82" i="1"/>
  <c r="AV82" i="1"/>
  <c r="AW82" i="1"/>
  <c r="AX82" i="1"/>
  <c r="BC82" i="1"/>
  <c r="BD82" i="1"/>
  <c r="BF82" i="1"/>
  <c r="BH82" i="1"/>
  <c r="BI82" i="1"/>
  <c r="BJ82" i="1"/>
  <c r="I83" i="1"/>
  <c r="J83" i="1"/>
  <c r="K83" i="1"/>
  <c r="Z83" i="1"/>
  <c r="AB83" i="1"/>
  <c r="AC83" i="1"/>
  <c r="AD83" i="1"/>
  <c r="AE83" i="1"/>
  <c r="AF83" i="1"/>
  <c r="AG83" i="1"/>
  <c r="AH83" i="1"/>
  <c r="AJ83" i="1"/>
  <c r="AK83" i="1"/>
  <c r="AL83" i="1"/>
  <c r="AO83" i="1"/>
  <c r="AP83" i="1"/>
  <c r="AV83" i="1"/>
  <c r="AW83" i="1"/>
  <c r="AX83" i="1"/>
  <c r="BC83" i="1"/>
  <c r="BD83" i="1"/>
  <c r="BF83" i="1"/>
  <c r="BH83" i="1"/>
  <c r="BI83" i="1"/>
  <c r="BJ83" i="1"/>
  <c r="I84" i="1"/>
  <c r="J84" i="1"/>
  <c r="K84" i="1"/>
  <c r="Z84" i="1"/>
  <c r="AB84" i="1"/>
  <c r="AC84" i="1"/>
  <c r="AD84" i="1"/>
  <c r="AE84" i="1"/>
  <c r="AF84" i="1"/>
  <c r="AG84" i="1"/>
  <c r="AH84" i="1"/>
  <c r="AJ84" i="1"/>
  <c r="AK84" i="1"/>
  <c r="AL84" i="1"/>
  <c r="AO84" i="1"/>
  <c r="AP84" i="1"/>
  <c r="AV84" i="1"/>
  <c r="AW84" i="1"/>
  <c r="AX84" i="1"/>
  <c r="BC84" i="1"/>
  <c r="BD84" i="1"/>
  <c r="BF84" i="1"/>
  <c r="BH84" i="1"/>
  <c r="BI84" i="1"/>
  <c r="BJ84" i="1"/>
  <c r="I85" i="1"/>
  <c r="J85" i="1"/>
  <c r="K85" i="1"/>
  <c r="Z85" i="1"/>
  <c r="AB85" i="1"/>
  <c r="AC85" i="1"/>
  <c r="AD85" i="1"/>
  <c r="AE85" i="1"/>
  <c r="AF85" i="1"/>
  <c r="AG85" i="1"/>
  <c r="AH85" i="1"/>
  <c r="AJ85" i="1"/>
  <c r="AK85" i="1"/>
  <c r="AL85" i="1"/>
  <c r="AO85" i="1"/>
  <c r="AP85" i="1"/>
  <c r="AV85" i="1"/>
  <c r="AW85" i="1"/>
  <c r="AX85" i="1"/>
  <c r="BC85" i="1"/>
  <c r="BD85" i="1"/>
  <c r="BF85" i="1"/>
  <c r="BH85" i="1"/>
  <c r="BI85" i="1"/>
  <c r="BJ85" i="1"/>
  <c r="I86" i="1"/>
  <c r="J86" i="1"/>
  <c r="K86" i="1"/>
  <c r="Z86" i="1"/>
  <c r="AB86" i="1"/>
  <c r="AC86" i="1"/>
  <c r="AD86" i="1"/>
  <c r="AE86" i="1"/>
  <c r="AF86" i="1"/>
  <c r="AG86" i="1"/>
  <c r="AH86" i="1"/>
  <c r="AJ86" i="1"/>
  <c r="AK86" i="1"/>
  <c r="AL86" i="1"/>
  <c r="AO86" i="1"/>
  <c r="AP86" i="1"/>
  <c r="AV86" i="1"/>
  <c r="AW86" i="1"/>
  <c r="AX86" i="1"/>
  <c r="BC86" i="1"/>
  <c r="BD86" i="1"/>
  <c r="BF86" i="1"/>
  <c r="BH86" i="1"/>
  <c r="BI86" i="1"/>
  <c r="BJ86" i="1"/>
  <c r="I87" i="1"/>
  <c r="J87" i="1"/>
  <c r="K87" i="1"/>
  <c r="Z87" i="1"/>
  <c r="AB87" i="1"/>
  <c r="AC87" i="1"/>
  <c r="AD87" i="1"/>
  <c r="AE87" i="1"/>
  <c r="AF87" i="1"/>
  <c r="AG87" i="1"/>
  <c r="AH87" i="1"/>
  <c r="AJ87" i="1"/>
  <c r="AK87" i="1"/>
  <c r="AL87" i="1"/>
  <c r="AO87" i="1"/>
  <c r="AP87" i="1"/>
  <c r="AV87" i="1"/>
  <c r="AW87" i="1"/>
  <c r="AX87" i="1"/>
  <c r="BC87" i="1"/>
  <c r="BD87" i="1"/>
  <c r="BF87" i="1"/>
  <c r="BH87" i="1"/>
  <c r="BI87" i="1"/>
  <c r="BJ87" i="1"/>
  <c r="I88" i="1"/>
  <c r="J88" i="1"/>
  <c r="K88" i="1"/>
  <c r="Z88" i="1"/>
  <c r="AB88" i="1"/>
  <c r="AC88" i="1"/>
  <c r="AD88" i="1"/>
  <c r="AE88" i="1"/>
  <c r="AF88" i="1"/>
  <c r="AG88" i="1"/>
  <c r="AH88" i="1"/>
  <c r="AJ88" i="1"/>
  <c r="AK88" i="1"/>
  <c r="AL88" i="1"/>
  <c r="AO88" i="1"/>
  <c r="AP88" i="1"/>
  <c r="AV88" i="1"/>
  <c r="AW88" i="1"/>
  <c r="AX88" i="1"/>
  <c r="BC88" i="1"/>
  <c r="BD88" i="1"/>
  <c r="BF88" i="1"/>
  <c r="BH88" i="1"/>
  <c r="BI88" i="1"/>
  <c r="BJ88" i="1"/>
  <c r="I89" i="1"/>
  <c r="J89" i="1"/>
  <c r="K89" i="1"/>
  <c r="AS89" i="1"/>
  <c r="AT89" i="1"/>
  <c r="AU89" i="1"/>
  <c r="I90" i="1"/>
  <c r="J90" i="1"/>
  <c r="K90" i="1"/>
  <c r="Z90" i="1"/>
  <c r="AB90" i="1"/>
  <c r="AC90" i="1"/>
  <c r="AD90" i="1"/>
  <c r="AE90" i="1"/>
  <c r="AF90" i="1"/>
  <c r="AG90" i="1"/>
  <c r="AH90" i="1"/>
  <c r="AJ90" i="1"/>
  <c r="AK90" i="1"/>
  <c r="AL90" i="1"/>
  <c r="AO90" i="1"/>
  <c r="AP90" i="1"/>
  <c r="AV90" i="1"/>
  <c r="AW90" i="1"/>
  <c r="AX90" i="1"/>
  <c r="BC90" i="1"/>
  <c r="BD90" i="1"/>
  <c r="BF90" i="1"/>
  <c r="BH90" i="1"/>
  <c r="BI90" i="1"/>
  <c r="BJ90" i="1"/>
  <c r="I91" i="1"/>
  <c r="J91" i="1"/>
  <c r="K91" i="1"/>
  <c r="Z91" i="1"/>
  <c r="AB91" i="1"/>
  <c r="AC91" i="1"/>
  <c r="AD91" i="1"/>
  <c r="AE91" i="1"/>
  <c r="AF91" i="1"/>
  <c r="AG91" i="1"/>
  <c r="AH91" i="1"/>
  <c r="AJ91" i="1"/>
  <c r="AK91" i="1"/>
  <c r="AL91" i="1"/>
  <c r="AO91" i="1"/>
  <c r="AP91" i="1"/>
  <c r="AV91" i="1"/>
  <c r="AW91" i="1"/>
  <c r="AX91" i="1"/>
  <c r="BC91" i="1"/>
  <c r="BD91" i="1"/>
  <c r="BF91" i="1"/>
  <c r="BH91" i="1"/>
  <c r="BI91" i="1"/>
  <c r="BJ91" i="1"/>
  <c r="I92" i="1"/>
  <c r="J92" i="1"/>
  <c r="K92" i="1"/>
  <c r="Z92" i="1"/>
  <c r="AB92" i="1"/>
  <c r="AC92" i="1"/>
  <c r="AD92" i="1"/>
  <c r="AE92" i="1"/>
  <c r="AF92" i="1"/>
  <c r="AG92" i="1"/>
  <c r="AH92" i="1"/>
  <c r="AJ92" i="1"/>
  <c r="AK92" i="1"/>
  <c r="AL92" i="1"/>
  <c r="AO92" i="1"/>
  <c r="AP92" i="1"/>
  <c r="AV92" i="1"/>
  <c r="AW92" i="1"/>
  <c r="AX92" i="1"/>
  <c r="BC92" i="1"/>
  <c r="BD92" i="1"/>
  <c r="BF92" i="1"/>
  <c r="BH92" i="1"/>
  <c r="BI92" i="1"/>
  <c r="BJ92" i="1"/>
  <c r="I93" i="1"/>
  <c r="J93" i="1"/>
  <c r="K93" i="1"/>
  <c r="Z93" i="1"/>
  <c r="AB93" i="1"/>
  <c r="AC93" i="1"/>
  <c r="AD93" i="1"/>
  <c r="AE93" i="1"/>
  <c r="AF93" i="1"/>
  <c r="AG93" i="1"/>
  <c r="AH93" i="1"/>
  <c r="AJ93" i="1"/>
  <c r="AK93" i="1"/>
  <c r="AL93" i="1"/>
  <c r="AO93" i="1"/>
  <c r="AP93" i="1"/>
  <c r="AV93" i="1"/>
  <c r="AW93" i="1"/>
  <c r="AX93" i="1"/>
  <c r="BC93" i="1"/>
  <c r="BD93" i="1"/>
  <c r="BF93" i="1"/>
  <c r="BH93" i="1"/>
  <c r="BI93" i="1"/>
  <c r="BJ93" i="1"/>
  <c r="I94" i="1"/>
  <c r="J94" i="1"/>
  <c r="K94" i="1"/>
  <c r="AS94" i="1"/>
  <c r="AT94" i="1"/>
  <c r="AU94" i="1"/>
  <c r="I95" i="1"/>
  <c r="J95" i="1"/>
  <c r="K95" i="1"/>
  <c r="Z95" i="1"/>
  <c r="AB95" i="1"/>
  <c r="AC95" i="1"/>
  <c r="AD95" i="1"/>
  <c r="AE95" i="1"/>
  <c r="AF95" i="1"/>
  <c r="AG95" i="1"/>
  <c r="AH95" i="1"/>
  <c r="AJ95" i="1"/>
  <c r="AK95" i="1"/>
  <c r="AL95" i="1"/>
  <c r="AO95" i="1"/>
  <c r="AP95" i="1"/>
  <c r="AV95" i="1"/>
  <c r="AW95" i="1"/>
  <c r="AX95" i="1"/>
  <c r="BC95" i="1"/>
  <c r="BD95" i="1"/>
  <c r="BF95" i="1"/>
  <c r="BH95" i="1"/>
  <c r="BI95" i="1"/>
  <c r="BJ95" i="1"/>
  <c r="I96" i="1"/>
  <c r="J96" i="1"/>
  <c r="K96" i="1"/>
  <c r="AS96" i="1"/>
  <c r="AT96" i="1"/>
  <c r="AU96" i="1"/>
  <c r="I97" i="1"/>
  <c r="J97" i="1"/>
  <c r="K97" i="1"/>
  <c r="Z97" i="1"/>
  <c r="AB97" i="1"/>
  <c r="AC97" i="1"/>
  <c r="AD97" i="1"/>
  <c r="AE97" i="1"/>
  <c r="AF97" i="1"/>
  <c r="AG97" i="1"/>
  <c r="AH97" i="1"/>
  <c r="AJ97" i="1"/>
  <c r="AK97" i="1"/>
  <c r="AL97" i="1"/>
  <c r="AO97" i="1"/>
  <c r="AP97" i="1"/>
  <c r="AV97" i="1"/>
  <c r="AW97" i="1"/>
  <c r="AX97" i="1"/>
  <c r="BC97" i="1"/>
  <c r="BD97" i="1"/>
  <c r="BF97" i="1"/>
  <c r="BH97" i="1"/>
  <c r="BI97" i="1"/>
  <c r="BJ97" i="1"/>
  <c r="I98" i="1"/>
  <c r="J98" i="1"/>
  <c r="K98" i="1"/>
  <c r="AS98" i="1"/>
  <c r="AT98" i="1"/>
  <c r="AU98" i="1"/>
  <c r="I99" i="1"/>
  <c r="J99" i="1"/>
  <c r="K99" i="1"/>
  <c r="Z99" i="1"/>
  <c r="AB99" i="1"/>
  <c r="AC99" i="1"/>
  <c r="AD99" i="1"/>
  <c r="AE99" i="1"/>
  <c r="AF99" i="1"/>
  <c r="AG99" i="1"/>
  <c r="AH99" i="1"/>
  <c r="AJ99" i="1"/>
  <c r="AK99" i="1"/>
  <c r="AL99" i="1"/>
  <c r="AO99" i="1"/>
  <c r="AP99" i="1"/>
  <c r="AV99" i="1"/>
  <c r="AW99" i="1"/>
  <c r="AX99" i="1"/>
  <c r="BC99" i="1"/>
  <c r="BD99" i="1"/>
  <c r="BF99" i="1"/>
  <c r="BH99" i="1"/>
  <c r="BI99" i="1"/>
  <c r="BJ99" i="1"/>
  <c r="I100" i="1"/>
  <c r="J100" i="1"/>
  <c r="K100" i="1"/>
  <c r="Z100" i="1"/>
  <c r="AB100" i="1"/>
  <c r="AC100" i="1"/>
  <c r="AD100" i="1"/>
  <c r="AE100" i="1"/>
  <c r="AF100" i="1"/>
  <c r="AG100" i="1"/>
  <c r="AH100" i="1"/>
  <c r="AJ100" i="1"/>
  <c r="AK100" i="1"/>
  <c r="AL100" i="1"/>
  <c r="AO100" i="1"/>
  <c r="AP100" i="1"/>
  <c r="AV100" i="1"/>
  <c r="AW100" i="1"/>
  <c r="AX100" i="1"/>
  <c r="BC100" i="1"/>
  <c r="BD100" i="1"/>
  <c r="BF100" i="1"/>
  <c r="BH100" i="1"/>
  <c r="BI100" i="1"/>
  <c r="BJ100" i="1"/>
  <c r="I101" i="1"/>
  <c r="J101" i="1"/>
  <c r="K101" i="1"/>
  <c r="Z101" i="1"/>
  <c r="AB101" i="1"/>
  <c r="AC101" i="1"/>
  <c r="AD101" i="1"/>
  <c r="AE101" i="1"/>
  <c r="AF101" i="1"/>
  <c r="AG101" i="1"/>
  <c r="AH101" i="1"/>
  <c r="AJ101" i="1"/>
  <c r="AK101" i="1"/>
  <c r="AL101" i="1"/>
  <c r="AO101" i="1"/>
  <c r="AP101" i="1"/>
  <c r="AV101" i="1"/>
  <c r="AW101" i="1"/>
  <c r="AX101" i="1"/>
  <c r="BC101" i="1"/>
  <c r="BD101" i="1"/>
  <c r="BF101" i="1"/>
  <c r="BH101" i="1"/>
  <c r="BI101" i="1"/>
  <c r="BJ101" i="1"/>
  <c r="K102" i="1"/>
  <c r="B2" i="2"/>
  <c r="E2" i="2"/>
  <c r="B4" i="2"/>
  <c r="E4" i="2"/>
  <c r="B6" i="2"/>
  <c r="E6" i="2"/>
  <c r="B8" i="2"/>
  <c r="E11" i="2"/>
  <c r="F11" i="2"/>
  <c r="G11" i="2"/>
  <c r="I11" i="2"/>
  <c r="E12" i="2"/>
  <c r="F12" i="2"/>
  <c r="G12" i="2"/>
  <c r="I12" i="2"/>
  <c r="E13" i="2"/>
  <c r="F13" i="2"/>
  <c r="G13" i="2"/>
  <c r="I13" i="2"/>
  <c r="E14" i="2"/>
  <c r="F14" i="2"/>
  <c r="G14" i="2"/>
  <c r="I14" i="2"/>
  <c r="E15" i="2"/>
  <c r="F15" i="2"/>
  <c r="G15" i="2"/>
  <c r="I15" i="2"/>
  <c r="E16" i="2"/>
  <c r="F16" i="2"/>
  <c r="G16" i="2"/>
  <c r="I16" i="2"/>
  <c r="E17" i="2"/>
  <c r="F17" i="2"/>
  <c r="G17" i="2"/>
  <c r="I17" i="2"/>
  <c r="E18" i="2"/>
  <c r="F18" i="2"/>
  <c r="G18" i="2"/>
  <c r="I18" i="2"/>
  <c r="E19" i="2"/>
  <c r="F19" i="2"/>
  <c r="G19" i="2"/>
  <c r="I19" i="2"/>
  <c r="E20" i="2"/>
  <c r="F20" i="2"/>
  <c r="G20" i="2"/>
  <c r="I20" i="2"/>
  <c r="E21" i="2"/>
  <c r="F21" i="2"/>
  <c r="G21" i="2"/>
  <c r="I21" i="2"/>
  <c r="E22" i="2"/>
  <c r="F22" i="2"/>
  <c r="G22" i="2"/>
  <c r="I22" i="2"/>
  <c r="E23" i="2"/>
  <c r="F23" i="2"/>
  <c r="G23" i="2"/>
  <c r="I23" i="2"/>
  <c r="G25" i="2"/>
  <c r="C2" i="3"/>
  <c r="F2" i="3"/>
  <c r="C4" i="3"/>
  <c r="F4" i="3"/>
  <c r="C6" i="3"/>
  <c r="F6" i="3"/>
  <c r="C8" i="3"/>
</calcChain>
</file>

<file path=xl/sharedStrings.xml><?xml version="1.0" encoding="utf-8"?>
<sst xmlns="http://schemas.openxmlformats.org/spreadsheetml/2006/main" count="1369" uniqueCount="406">
  <si>
    <t>Slepý stavební rozpočet</t>
  </si>
  <si>
    <t>Název stavby:</t>
  </si>
  <si>
    <t>Druh stavby:</t>
  </si>
  <si>
    <t>Lokalita:</t>
  </si>
  <si>
    <t>JKSO:</t>
  </si>
  <si>
    <t>Č</t>
  </si>
  <si>
    <t xml:space="preserve">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</si>
  <si>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</si>
  <si>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</si>
  <si>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</si>
  <si>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</si>
  <si>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</si>
  <si>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</si>
  <si>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</si>
  <si>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</si>
  <si>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</si>
  <si>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</si>
  <si>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</si>
  <si>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</si>
  <si>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</si>
  <si>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</si>
  <si>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</si>
  <si>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</si>
  <si>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</si>
  <si>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</si>
  <si>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</si>
  <si>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</si>
  <si>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</si>
  <si>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</si>
  <si>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</si>
  <si>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</si>
  <si>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</si>
  <si>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</si>
  <si>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</si>
  <si>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</si>
  <si>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</si>
  <si>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</si>
  <si>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</si>
  <si>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</si>
  <si>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</si>
  <si>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</si>
  <si>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</si>
  <si>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</si>
  <si>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</si>
  <si>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</si>
  <si>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</si>
  <si>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</si>
  <si>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</si>
  <si>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</si>
  <si>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</si>
  <si>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</si>
  <si>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</si>
  <si>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</si>
  <si>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</si>
  <si>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</si>
  <si>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</si>
  <si>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</si>
  <si>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</si>
  <si>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</si>
  <si>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</si>
  <si>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</si>
  <si>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</si>
  <si>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</si>
  <si>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</si>
  <si>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</si>
  <si>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</si>
  <si>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</si>
  <si>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</si>
  <si>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</si>
  <si>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</si>
  <si>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</si>
  <si>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</si>
  <si>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</si>
  <si>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</si>
  <si>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</si>
  <si>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</si>
  <si>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</si>
  <si>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</si>
  <si>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</si>
  <si>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</si>
  <si>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</si>
  <si>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</si>
  <si>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</si>
  <si>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</si>
  <si>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Poznámka:</t>
  </si>
  <si>
    <t>Kód</t>
  </si>
  <si>
    <t>113107608R00</t>
  </si>
  <si>
    <t>113107630R00</t>
  </si>
  <si>
    <t>119001421R00</t>
  </si>
  <si>
    <t>132201212R00</t>
  </si>
  <si>
    <t>132201219R00</t>
  </si>
  <si>
    <t>130001101R00</t>
  </si>
  <si>
    <t>133201101R00</t>
  </si>
  <si>
    <t>133201109R00</t>
  </si>
  <si>
    <t>151101101R00</t>
  </si>
  <si>
    <t>151101111R00</t>
  </si>
  <si>
    <t>161101101R00</t>
  </si>
  <si>
    <t>162201102R00</t>
  </si>
  <si>
    <t>162701103R00</t>
  </si>
  <si>
    <t>166101101R00</t>
  </si>
  <si>
    <t>167101101R00</t>
  </si>
  <si>
    <t>171201201R00</t>
  </si>
  <si>
    <t>174101101R00</t>
  </si>
  <si>
    <t>58337333</t>
  </si>
  <si>
    <t>175101101R00</t>
  </si>
  <si>
    <t>583316054</t>
  </si>
  <si>
    <t>175101109RT1</t>
  </si>
  <si>
    <t>451572211R00</t>
  </si>
  <si>
    <t>566701111R00</t>
  </si>
  <si>
    <t>566903111R00</t>
  </si>
  <si>
    <t>87</t>
  </si>
  <si>
    <t>871061890RT1</t>
  </si>
  <si>
    <t>871161121R00</t>
  </si>
  <si>
    <t>28613780</t>
  </si>
  <si>
    <t>871241121R00</t>
  </si>
  <si>
    <t>28613765</t>
  </si>
  <si>
    <t>871812112RT1</t>
  </si>
  <si>
    <t>877162121R00</t>
  </si>
  <si>
    <t>28613102.M</t>
  </si>
  <si>
    <t>877242121R00</t>
  </si>
  <si>
    <t>28613106.M</t>
  </si>
  <si>
    <t>28653335.A</t>
  </si>
  <si>
    <t>28653598</t>
  </si>
  <si>
    <t>28654368</t>
  </si>
  <si>
    <t>879172199R00</t>
  </si>
  <si>
    <t>89</t>
  </si>
  <si>
    <t>891171111R00</t>
  </si>
  <si>
    <t>422913302</t>
  </si>
  <si>
    <t>42291353</t>
  </si>
  <si>
    <t>422915501</t>
  </si>
  <si>
    <t>891211111R00</t>
  </si>
  <si>
    <t>422913305</t>
  </si>
  <si>
    <t>891241111R00</t>
  </si>
  <si>
    <t>42228310</t>
  </si>
  <si>
    <t>891247111R00</t>
  </si>
  <si>
    <t>42273602</t>
  </si>
  <si>
    <t>42291452</t>
  </si>
  <si>
    <t>42291525</t>
  </si>
  <si>
    <t>891249111R00</t>
  </si>
  <si>
    <t>42273390</t>
  </si>
  <si>
    <t>891269111R00</t>
  </si>
  <si>
    <t>42273532</t>
  </si>
  <si>
    <t>891319111R00</t>
  </si>
  <si>
    <t>42273534</t>
  </si>
  <si>
    <t>892233111RT1</t>
  </si>
  <si>
    <t>892271111RT1</t>
  </si>
  <si>
    <t>892273111RT1</t>
  </si>
  <si>
    <t>892352111R00</t>
  </si>
  <si>
    <t>892557111RT1</t>
  </si>
  <si>
    <t>892559111RT1</t>
  </si>
  <si>
    <t>893111101R00</t>
  </si>
  <si>
    <t>899713111RT1</t>
  </si>
  <si>
    <t>899721111RT1</t>
  </si>
  <si>
    <t>899731113RT1</t>
  </si>
  <si>
    <t>S</t>
  </si>
  <si>
    <t>979081111R00</t>
  </si>
  <si>
    <t>979081121R00</t>
  </si>
  <si>
    <t>979086112R00</t>
  </si>
  <si>
    <t>979093111R00</t>
  </si>
  <si>
    <t>H22</t>
  </si>
  <si>
    <t>998222011R00</t>
  </si>
  <si>
    <t>H27</t>
  </si>
  <si>
    <t>998276101R00</t>
  </si>
  <si>
    <t>O</t>
  </si>
  <si>
    <t>005121010R</t>
  </si>
  <si>
    <t>005122010R</t>
  </si>
  <si>
    <t>005241010R</t>
  </si>
  <si>
    <t>Dostavba vodovodu lokalita Kuřívody, Ralsko</t>
  </si>
  <si>
    <t>Zkrácený popis / Varianta</t>
  </si>
  <si>
    <t>Rozměry</t>
  </si>
  <si>
    <t>Přípravné a přidružené práce</t>
  </si>
  <si>
    <t>Odstranění podkladu nad 50 m2,kam.drcené tl.8 cm -štěrková komunikace</t>
  </si>
  <si>
    <t>Odstranění podkladu nad 50 m2,kam.drcené tl.30 cm -štěrková komunikace</t>
  </si>
  <si>
    <t>Dočasné zajištění kabelů - do počtu 3 kabelů</t>
  </si>
  <si>
    <t>Hloubené vykopávky</t>
  </si>
  <si>
    <t>Hloubení rýh š.do 200 cm hor.3 do 1000m3</t>
  </si>
  <si>
    <t>Přípl.za lepivost,hloubení rýh 200cm,hor.3</t>
  </si>
  <si>
    <t>Příplatek za ztížené hloubení v blízkosti vedení</t>
  </si>
  <si>
    <t>Hloubení šachet v hor.3 do 100 m3</t>
  </si>
  <si>
    <t>Příplatek za lepivost - hloubení šachet v hor.3</t>
  </si>
  <si>
    <t>Roubení</t>
  </si>
  <si>
    <t>Pažení a rozepření stěn rýh - příložné - hl.do 2 m</t>
  </si>
  <si>
    <t>Odstranění pažení stěn rýh - příložné - hl. do 2 m</t>
  </si>
  <si>
    <t>Přemístění výkopku</t>
  </si>
  <si>
    <t>Svislé přemístění výkopku z hor.1-4 do 2,5 m</t>
  </si>
  <si>
    <t>Vodorovné přemístění výkopku z hor.1-4 do 50 m</t>
  </si>
  <si>
    <t>Vodorovné přemístění výkopku z hor.1-4 do 8000 m</t>
  </si>
  <si>
    <t>Přehození výkopku z hor.1-4 -pro zásyp</t>
  </si>
  <si>
    <t>Nakládání výkopku z hor.1-4 v množství do 100 m3</t>
  </si>
  <si>
    <t>Konstrukce ze zemin</t>
  </si>
  <si>
    <t>Uložení sypaniny na skl.-sypanina na výšku přes 2m</t>
  </si>
  <si>
    <t>Zásyp jam, rýh, šachet se zhutněním výkopkem s 20% vylepšením štěrkopískem (15,941 m3)</t>
  </si>
  <si>
    <t>Štěrkopísek frakce 16-32</t>
  </si>
  <si>
    <t>Obsyp potrubí bez prohození sypaniny</t>
  </si>
  <si>
    <t>Kamenivo těžené frakce  0/22 B</t>
  </si>
  <si>
    <t>Příplatek za prohození sypaniny pro zásyp -zbavení ostrohranných předmětů a balvanů</t>
  </si>
  <si>
    <t>Podkladní a vedlejší konstrukce (kromě vozovek a železničního svršku)</t>
  </si>
  <si>
    <t>Lože pod potrubí z kameniva těženého (štěrkopísku) 0 - 8 mm</t>
  </si>
  <si>
    <t>Podkladní vrstvy komunikací, letišť a ploch</t>
  </si>
  <si>
    <t>Úprava krytu kamenivem drceným tl.80 mm fr.32-64, zakalení 4-8</t>
  </si>
  <si>
    <t>Vyspravení podkladu po překopech kam.hrubě drceným -štěrkodrť tl.100+150+300mm</t>
  </si>
  <si>
    <t>Potrubí z trub plastických, skleněných a čedičových</t>
  </si>
  <si>
    <t>Odpojení stávajícího vodovod.potrubí</t>
  </si>
  <si>
    <t>Montáž trubek polyetylenových ve výkopu d 32 mm</t>
  </si>
  <si>
    <t>Trubka tlaková PE HD (PE100) d 32 x 3,0 mm PN 16, SDR 11</t>
  </si>
  <si>
    <t>Montáž potrubí polyetylenového ve výkopu d 90 mm -vodovod</t>
  </si>
  <si>
    <t>Trubka tlaková PE HD (PE100) d 90 x 5,4 mm PN 16, SDR 11</t>
  </si>
  <si>
    <t>Příplatek za zaměření GPS a skutečného provedení během pokládky</t>
  </si>
  <si>
    <t>Přirážka za 1 spoj elektrotvarovky d 32 mm</t>
  </si>
  <si>
    <t>Elektrospojka d  32 mm SDR 11 PE 100 PN 16</t>
  </si>
  <si>
    <t>Přirážka za 1 spoj elektrotvarovky d 90 mm</t>
  </si>
  <si>
    <t>Elektrospojka d  90 mm SDR 11 PE 100 PN 16</t>
  </si>
  <si>
    <t>Koleno 45° elektrosvařovací d  90 mm SDR 11, PN 16</t>
  </si>
  <si>
    <t>Nákružek lemový tlakový PE HD d  90 mm</t>
  </si>
  <si>
    <t>Příruba PP/ocel d 90 vč.přísl.</t>
  </si>
  <si>
    <t>Příplatek za montáž vodovodních přípojek DN 32-80</t>
  </si>
  <si>
    <t>Ostatní konstrukce a práce na trubním vedení</t>
  </si>
  <si>
    <t>Montáž vodovodních šoupátek ve výkopu DN 25</t>
  </si>
  <si>
    <t>Souprava zemní teleskopická pro šoupata DN 25-50,max.1,75m</t>
  </si>
  <si>
    <t>Poklop těžký, uliční, litinový-šoupátkový</t>
  </si>
  <si>
    <t>Deska podkladní univerzální šoupátkového poklopu</t>
  </si>
  <si>
    <t>Montáž vodovodních šoupátek ve výkopu DN 50</t>
  </si>
  <si>
    <t>Souprava zemní teleskopická pro šoupata DN 50-600,max.1,75m</t>
  </si>
  <si>
    <t>Montáž vodovodních šoupátek ve výkopu DN 80</t>
  </si>
  <si>
    <t>Šoupátko přírubové litinové DN 80 PN 16, voda</t>
  </si>
  <si>
    <t>Montáž hydrantů podzemních DN 80</t>
  </si>
  <si>
    <t>Hydrant podzemní PN 16 DN 80 krycí hloubka 1500</t>
  </si>
  <si>
    <t>Poklop tuhý uliční litinový-hydrantový DN 80</t>
  </si>
  <si>
    <t>Deska podkladová pod hydrantové poklopy</t>
  </si>
  <si>
    <t>Montáž navrtávacích pasů DN 80</t>
  </si>
  <si>
    <t>T-KS  přírubový DN 80 - 80</t>
  </si>
  <si>
    <t>Montáž navrtávacích pasů DN 100 (90)</t>
  </si>
  <si>
    <t>T-kus navrtávací SDR11, d90/32</t>
  </si>
  <si>
    <t>Montáž navrtávacích pasů DN 150 (160)</t>
  </si>
  <si>
    <t>T-kus navrtávací SDR11, d160/90</t>
  </si>
  <si>
    <t>Proplach a desinfekce vodovodního potrubí  do DN 70</t>
  </si>
  <si>
    <t>Tlaková zkouška vodovodního potrubí do DN 125</t>
  </si>
  <si>
    <t>Proplach a desinfekce vodovodního potrubí do DN 125</t>
  </si>
  <si>
    <t>Zabezpečení konců vodovod. potrubí do DN 125</t>
  </si>
  <si>
    <t>Zkouška celistvosti vyhledávacího vodiče</t>
  </si>
  <si>
    <t>Zkouška funkčnosti hydrantů</t>
  </si>
  <si>
    <t>Šachta vodoměrná prefa D 1000 mm -montáž a dodávka</t>
  </si>
  <si>
    <t>Orientační tabulky vod./kan.řadů na sloupku ocelovém, betonovém</t>
  </si>
  <si>
    <t>Fólie výstražná z PVC modrá, šířka 22 cm -vodovod</t>
  </si>
  <si>
    <t>Vodič signalizační CYY 4 mm2 -vodovod</t>
  </si>
  <si>
    <t>Přesuny sutí</t>
  </si>
  <si>
    <t>Odvoz suti a vybour. hmot na skládku do 1 km</t>
  </si>
  <si>
    <t>Příplatek k odvozu za každý další 1 km</t>
  </si>
  <si>
    <t>Nakládání nebo překládání suti a vybouraných hmot</t>
  </si>
  <si>
    <t>Uložení suti na skládku bez zhutnění -městská skládka (k dalš.použ.)</t>
  </si>
  <si>
    <t>Komunikace pozemní a letiště</t>
  </si>
  <si>
    <t>Přesun hmot, pozemní komunikace, kryt z kameniva</t>
  </si>
  <si>
    <t>Vedení trubní dálková a přípojná</t>
  </si>
  <si>
    <t>Přesun hmot, trubní vedení plastová, otevř. výkop</t>
  </si>
  <si>
    <t>Ostatní náklady</t>
  </si>
  <si>
    <t>Zařízení staveniště</t>
  </si>
  <si>
    <t>Provozní a územní vlivy</t>
  </si>
  <si>
    <t>Dokumentace skut.provedení stavby</t>
  </si>
  <si>
    <t>Doba výstavby:</t>
  </si>
  <si>
    <t>Začátek výstavby:</t>
  </si>
  <si>
    <t>Konec výstavby:</t>
  </si>
  <si>
    <t>Zpracováno dne:</t>
  </si>
  <si>
    <t>MJ</t>
  </si>
  <si>
    <t>m2</t>
  </si>
  <si>
    <t>m</t>
  </si>
  <si>
    <t>m3</t>
  </si>
  <si>
    <t>t</t>
  </si>
  <si>
    <t>kus</t>
  </si>
  <si>
    <t>úsek</t>
  </si>
  <si>
    <t>Množství</t>
  </si>
  <si>
    <t>Objednatel:</t>
  </si>
  <si>
    <t>Projektant:</t>
  </si>
  <si>
    <t>Zhotovitel:</t>
  </si>
  <si>
    <t>Zpracoval:</t>
  </si>
  <si>
    <t>Cena/MJ</t>
  </si>
  <si>
    <t>(Kč)</t>
  </si>
  <si>
    <t> </t>
  </si>
  <si>
    <t>Náklady (Kč)</t>
  </si>
  <si>
    <t>Dodávka</t>
  </si>
  <si>
    <t>Celkem:</t>
  </si>
  <si>
    <t>Montáž</t>
  </si>
  <si>
    <t>Celkem</t>
  </si>
  <si>
    <t>Cenová</t>
  </si>
  <si>
    <t>soustava</t>
  </si>
  <si>
    <t>RTS II / 2019</t>
  </si>
  <si>
    <t>Přesuny</t>
  </si>
  <si>
    <t>Typ skupiny</t>
  </si>
  <si>
    <t>HSV mat</t>
  </si>
  <si>
    <t>HSV prac</t>
  </si>
  <si>
    <t>PSV mat</t>
  </si>
  <si>
    <t>PSV prac</t>
  </si>
  <si>
    <t>Mont mat</t>
  </si>
  <si>
    <t>Mont prac</t>
  </si>
  <si>
    <t>Ostatní mat.</t>
  </si>
  <si>
    <t>11_</t>
  </si>
  <si>
    <t>13_</t>
  </si>
  <si>
    <t>15_</t>
  </si>
  <si>
    <t>16_</t>
  </si>
  <si>
    <t>17_</t>
  </si>
  <si>
    <t>45_</t>
  </si>
  <si>
    <t>56_</t>
  </si>
  <si>
    <t>87_</t>
  </si>
  <si>
    <t>89_</t>
  </si>
  <si>
    <t>S_</t>
  </si>
  <si>
    <t>H22_</t>
  </si>
  <si>
    <t>H27_</t>
  </si>
  <si>
    <t>O_</t>
  </si>
  <si>
    <t>1_</t>
  </si>
  <si>
    <t>4_</t>
  </si>
  <si>
    <t>5_</t>
  </si>
  <si>
    <t>8_</t>
  </si>
  <si>
    <t>9_</t>
  </si>
  <si>
    <t>_</t>
  </si>
  <si>
    <t>MAT</t>
  </si>
  <si>
    <t>WORK</t>
  </si>
  <si>
    <t>CELK</t>
  </si>
  <si>
    <t>Slepý stavební rozpočet - rekapitulace</t>
  </si>
  <si>
    <t>Objekt</t>
  </si>
  <si>
    <t>Zkrácený popis</t>
  </si>
  <si>
    <t>Náklady (Kč) - dodávka</t>
  </si>
  <si>
    <t>Náklady (Kč) - Montáž</t>
  </si>
  <si>
    <t>Náklady (Kč) - celkem</t>
  </si>
  <si>
    <t>T</t>
  </si>
  <si>
    <t>Výkaz výměr</t>
  </si>
  <si>
    <t>58,47*0,8   </t>
  </si>
  <si>
    <t>(1,5*1,5-0,785)*17   </t>
  </si>
  <si>
    <t>5,39   </t>
  </si>
  <si>
    <t>(4,15*0,8*0,82)+(4,11*0,8*0,97)+(8,26*0,8*1,12)+(12,93*0,8*1,22)+(19,47*0,8*1,32)   </t>
  </si>
  <si>
    <t>(3,34*0,8*1,32)+(2,05*0,8*1,22)   </t>
  </si>
  <si>
    <t>52,021   </t>
  </si>
  <si>
    <t>(1,5*1,5*1,2)+(1,5*1,5*1,35)+(1,5*1,5*1,5)*2+(1,5*1,5*1,55)+(1,5*1,5*1,6)*4+(1,5*1,5*1,7)*8   </t>
  </si>
  <si>
    <t>60,975   </t>
  </si>
  <si>
    <t>(4,15*1,2+4,11*1,35+8,26*1,5+12,24*1,55+12,93*1,6+19,47*1,7)*2   </t>
  </si>
  <si>
    <t>52,021+60,975   </t>
  </si>
  <si>
    <t>79,706-15,941   </t>
  </si>
  <si>
    <t>14,626   </t>
  </si>
  <si>
    <t>(52,021+60,975)-(79,706-15,941+18,664)   </t>
  </si>
  <si>
    <t>(4,15*0,8*0,42)+(4,11*0,8*0,57)+(8,26*0,8*0,72)+(12,24*0,8*0,77)+(12,93*0,8*0,82)+(19,47*0,8*0,92)   </t>
  </si>
  <si>
    <t>(1,5*1,5-0,725)*27,1   </t>
  </si>
  <si>
    <t>15,941*1,75   </t>
  </si>
  <si>
    <t>(58,47*0,8*0,4)-(58,47*0,0008)   </t>
  </si>
  <si>
    <t>18,664*1,75   </t>
  </si>
  <si>
    <t>;ztratné 3%; 0,97986   </t>
  </si>
  <si>
    <t>1,5*1,5*17*0,1   </t>
  </si>
  <si>
    <t>58,47*0,8*0,756   </t>
  </si>
  <si>
    <t>(1,5*1,5-0,785)*17*0,756   </t>
  </si>
  <si>
    <t>1   </t>
  </si>
  <si>
    <t>58,47   </t>
  </si>
  <si>
    <t>;ztratné 5%; 2,9235   </t>
  </si>
  <si>
    <t>275,33   </t>
  </si>
  <si>
    <t>;ztratné 5%; 13,7665   </t>
  </si>
  <si>
    <t>275,33+58,47   </t>
  </si>
  <si>
    <t>17   </t>
  </si>
  <si>
    <t>4*4   </t>
  </si>
  <si>
    <t>4   </t>
  </si>
  <si>
    <t>3   </t>
  </si>
  <si>
    <t>2   </t>
  </si>
  <si>
    <t>20   </t>
  </si>
  <si>
    <t>60,059   </t>
  </si>
  <si>
    <t>60,059*7   </t>
  </si>
  <si>
    <t>72,316   </t>
  </si>
  <si>
    <t>0,189+61,539+4,331+72,316+0,532+36,184   </t>
  </si>
  <si>
    <t>Potřebné množství</t>
  </si>
  <si>
    <t>Rozpočtové náklady v Kč</t>
  </si>
  <si>
    <t>A</t>
  </si>
  <si>
    <t>HSV</t>
  </si>
  <si>
    <t>PSV</t>
  </si>
  <si>
    <t>"M"</t>
  </si>
  <si>
    <t>Ostatní materiál</t>
  </si>
  <si>
    <t>Přesun hmot a sutí</t>
  </si>
  <si>
    <t>ZRN celkem</t>
  </si>
  <si>
    <t>Základ 0%</t>
  </si>
  <si>
    <t>Základ 15%</t>
  </si>
  <si>
    <t>Základ 21%</t>
  </si>
  <si>
    <t>Projektant</t>
  </si>
  <si>
    <t>Datum, razítko a podpis</t>
  </si>
  <si>
    <t>Základní rozpočtové náklady</t>
  </si>
  <si>
    <t>Dodávky</t>
  </si>
  <si>
    <t>Krycí list slepého rozpočtu</t>
  </si>
  <si>
    <t>B</t>
  </si>
  <si>
    <t>Práce přesčas</t>
  </si>
  <si>
    <t>Bez pevné podl.</t>
  </si>
  <si>
    <t>Kulturní památka</t>
  </si>
  <si>
    <t>DN celkem</t>
  </si>
  <si>
    <t>DN celkem z obj.</t>
  </si>
  <si>
    <t>DPH 15%</t>
  </si>
  <si>
    <t>DPH 21%</t>
  </si>
  <si>
    <t>Objednatel</t>
  </si>
  <si>
    <t>Doplňkové náklady</t>
  </si>
  <si>
    <t>C</t>
  </si>
  <si>
    <t>Mimostav. doprava</t>
  </si>
  <si>
    <t>Územní vlivy</t>
  </si>
  <si>
    <t>Provozní vlivy</t>
  </si>
  <si>
    <t>Ostatní</t>
  </si>
  <si>
    <t>NUS z rozpočtu</t>
  </si>
  <si>
    <t>NUS celkem</t>
  </si>
  <si>
    <t>NUS celkem z obj.</t>
  </si>
  <si>
    <t>ORN celkem</t>
  </si>
  <si>
    <t>ORN celkem z obj.</t>
  </si>
  <si>
    <t>Celkem bez DPH</t>
  </si>
  <si>
    <t>Celkem včetně DPH</t>
  </si>
  <si>
    <t>Zhotovitel</t>
  </si>
  <si>
    <t>IČ/DIČ:</t>
  </si>
  <si>
    <t>Položek:</t>
  </si>
  <si>
    <t>Datum:</t>
  </si>
  <si>
    <t>Náklady na umístění stavby (NUS)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</si>
</sst>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#,##0.000"/>
  </numFmts>
  <fonts count="16" x14ac:knownFonts="1">
    <font>
      <sz val="10"/>
      <name val="Arial"/>
    </font>
    <font>
      <sz val="10"/>
      <color indexed="8"/>
      <name val="Arial"/>
      <charset val="238"/>
    </font>
    <font>
      <sz val="18"/>
      <color indexed="8"/>
      <name val="Arial"/>
      <charset val="238"/>
    </font>
    <font>
      <b/>
      <sz val="10"/>
      <color indexed="8"/>
      <name val="Arial"/>
      <charset val="238"/>
    </font>
    <font>
      <sz val="10"/>
      <color indexed="56"/>
      <name val="Arial"/>
      <charset val="238"/>
    </font>
    <font>
      <sz val="10"/>
      <color indexed="61"/>
      <name val="Arial"/>
      <charset val="238"/>
    </font>
    <font>
      <sz val="10"/>
      <color indexed="62"/>
      <name val="Arial"/>
      <charset val="238"/>
    </font>
    <font>
      <i/>
      <sz val="8"/>
      <color indexed="8"/>
      <name val="Arial"/>
      <charset val="238"/>
    </font>
    <font>
      <b/>
      <sz val="10"/>
      <color indexed="56"/>
      <name val="Arial"/>
      <charset val="238"/>
    </font>
    <font>
      <i/>
      <sz val="9"/>
      <color indexed="61"/>
      <name val="Arial"/>
      <charset val="238"/>
    </font>
    <font>
      <i/>
      <sz val="9"/>
      <color indexed="62"/>
      <name val="Arial"/>
      <charset val="238"/>
    </font>
    <font>
      <b/>
      <sz val="18"/>
      <color indexed="8"/>
      <name val="Arial"/>
      <charset val="238"/>
    </font>
    <font>
      <b/>
      <sz val="20"/>
      <color indexed="8"/>
      <name val="Arial"/>
      <charset val="238"/>
    </font>
    <font>
      <b/>
      <sz val="12"/>
      <color indexed="8"/>
      <name val="Arial"/>
      <charset val="238"/>
    </font>
    <font>
      <sz val="12"/>
      <color indexed="8"/>
      <name val="Arial"/>
      <charset val="238"/>
    </font>
    <font>
      <b/>
      <sz val="11"/>
      <color indexed="8"/>
      <name val="Arial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57"/>
        <bgColor indexed="9"/>
      </patternFill>
    </fill>
    <fill>
      <patternFill patternType="solid">
        <fgColor indexed="22"/>
        <bgColor indexed="9"/>
      </patternFill>
    </fill>
  </fills>
  <borders count="4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7">
    <xf numFmtId="0" fontId="1" fillId="0" borderId="0" xfId="0" applyFont="1" applyAlignment="1">
      <alignment vertical="center"/>
    </xf>
    <xf numFmtId="49" fontId="3" fillId="0" borderId="5" xfId="0" applyNumberFormat="1" applyFont="1" applyFill="1" applyBorder="1" applyAlignment="1" applyProtection="1">
      <alignment horizontal="left" vertical="center"/>
    </xf>
    <xf numFmtId="49" fontId="1" fillId="0" borderId="6" xfId="0" applyNumberFormat="1" applyFont="1" applyFill="1" applyBorder="1" applyAlignment="1" applyProtection="1">
      <alignment horizontal="left" vertical="center"/>
    </xf>
    <xf numFmtId="49" fontId="4" fillId="2" borderId="7" xfId="0" applyNumberFormat="1" applyFont="1" applyFill="1" applyBorder="1" applyAlignment="1" applyProtection="1">
      <alignment horizontal="left" vertical="center"/>
    </xf>
    <xf numFmtId="49" fontId="5" fillId="0" borderId="0" xfId="0" applyNumberFormat="1" applyFont="1" applyFill="1" applyBorder="1" applyAlignment="1" applyProtection="1">
      <alignment horizontal="left" vertical="center"/>
    </xf>
    <xf numFmtId="49" fontId="4" fillId="2" borderId="0" xfId="0" applyNumberFormat="1" applyFont="1" applyFill="1" applyBorder="1" applyAlignment="1" applyProtection="1">
      <alignment horizontal="left" vertical="center"/>
    </xf>
    <xf numFmtId="49" fontId="6" fillId="0" borderId="0" xfId="0" applyNumberFormat="1" applyFont="1" applyFill="1" applyBorder="1" applyAlignment="1" applyProtection="1">
      <alignment horizontal="left" vertical="center"/>
    </xf>
    <xf numFmtId="49" fontId="5" fillId="0" borderId="1" xfId="0" applyNumberFormat="1" applyFont="1" applyFill="1" applyBorder="1" applyAlignment="1" applyProtection="1">
      <alignment horizontal="left" vertical="center"/>
    </xf>
    <xf numFmtId="0" fontId="1" fillId="0" borderId="8" xfId="0" applyNumberFormat="1" applyFont="1" applyFill="1" applyBorder="1" applyAlignment="1" applyProtection="1">
      <alignment vertical="center"/>
    </xf>
    <xf numFmtId="49" fontId="7" fillId="0" borderId="0" xfId="0" applyNumberFormat="1" applyFont="1" applyFill="1" applyBorder="1" applyAlignment="1" applyProtection="1">
      <alignment horizontal="left" vertical="center"/>
    </xf>
    <xf numFmtId="49" fontId="3" fillId="0" borderId="10" xfId="0" applyNumberFormat="1" applyFont="1" applyFill="1" applyBorder="1" applyAlignment="1" applyProtection="1">
      <alignment horizontal="left" vertical="center"/>
    </xf>
    <xf numFmtId="49" fontId="1" fillId="0" borderId="11" xfId="0" applyNumberFormat="1" applyFont="1" applyFill="1" applyBorder="1" applyAlignment="1" applyProtection="1">
      <alignment horizontal="left" vertical="center"/>
    </xf>
    <xf numFmtId="49" fontId="8" fillId="2" borderId="7" xfId="0" applyNumberFormat="1" applyFont="1" applyFill="1" applyBorder="1" applyAlignment="1" applyProtection="1">
      <alignment horizontal="left" vertical="center"/>
    </xf>
    <xf numFmtId="49" fontId="8" fillId="2" borderId="0" xfId="0" applyNumberFormat="1" applyFont="1" applyFill="1" applyBorder="1" applyAlignment="1" applyProtection="1">
      <alignment horizontal="left" vertical="center"/>
    </xf>
    <xf numFmtId="49" fontId="1" fillId="0" borderId="0" xfId="0" applyNumberFormat="1" applyFont="1" applyFill="1" applyBorder="1" applyAlignment="1" applyProtection="1">
      <alignment horizontal="left" vertical="center"/>
    </xf>
    <xf numFmtId="49" fontId="3" fillId="0" borderId="10" xfId="0" applyNumberFormat="1" applyFont="1" applyFill="1" applyBorder="1" applyAlignment="1" applyProtection="1">
      <alignment horizontal="center" vertical="center"/>
    </xf>
    <xf numFmtId="4" fontId="5" fillId="0" borderId="0" xfId="0" applyNumberFormat="1" applyFont="1" applyFill="1" applyBorder="1" applyAlignment="1" applyProtection="1">
      <alignment horizontal="right" vertical="center"/>
    </xf>
    <xf numFmtId="4" fontId="6" fillId="0" borderId="0" xfId="0" applyNumberFormat="1" applyFont="1" applyFill="1" applyBorder="1" applyAlignment="1" applyProtection="1">
      <alignment horizontal="right" vertical="center"/>
    </xf>
    <xf numFmtId="4" fontId="5" fillId="0" borderId="1" xfId="0" applyNumberFormat="1" applyFont="1" applyFill="1" applyBorder="1" applyAlignment="1" applyProtection="1">
      <alignment horizontal="right" vertical="center"/>
    </xf>
    <xf numFmtId="49" fontId="3" fillId="0" borderId="15" xfId="0" applyNumberFormat="1" applyFont="1" applyFill="1" applyBorder="1" applyAlignment="1" applyProtection="1">
      <alignment horizontal="center" vertical="center"/>
    </xf>
    <xf numFmtId="49" fontId="3" fillId="0" borderId="16" xfId="0" applyNumberFormat="1" applyFont="1" applyFill="1" applyBorder="1" applyAlignment="1" applyProtection="1">
      <alignment horizontal="center" vertical="center"/>
    </xf>
    <xf numFmtId="49" fontId="3" fillId="0" borderId="18" xfId="0" applyNumberFormat="1" applyFont="1" applyFill="1" applyBorder="1" applyAlignment="1" applyProtection="1">
      <alignment horizontal="center" vertical="center"/>
    </xf>
    <xf numFmtId="49" fontId="3" fillId="0" borderId="20" xfId="0" applyNumberFormat="1" applyFont="1" applyFill="1" applyBorder="1" applyAlignment="1" applyProtection="1">
      <alignment horizontal="center" vertical="center"/>
    </xf>
    <xf numFmtId="49" fontId="3" fillId="0" borderId="22" xfId="0" applyNumberFormat="1" applyFont="1" applyFill="1" applyBorder="1" applyAlignment="1" applyProtection="1">
      <alignment horizontal="center" vertical="center"/>
    </xf>
    <xf numFmtId="49" fontId="3" fillId="0" borderId="25" xfId="0" applyNumberFormat="1" applyFont="1" applyFill="1" applyBorder="1" applyAlignment="1" applyProtection="1">
      <alignment horizontal="center" vertical="center"/>
    </xf>
    <xf numFmtId="49" fontId="3" fillId="0" borderId="26" xfId="0" applyNumberFormat="1" applyFont="1" applyFill="1" applyBorder="1" applyAlignment="1" applyProtection="1">
      <alignment horizontal="center" vertical="center"/>
    </xf>
    <xf numFmtId="49" fontId="8" fillId="2" borderId="7" xfId="0" applyNumberFormat="1" applyFont="1" applyFill="1" applyBorder="1" applyAlignment="1" applyProtection="1">
      <alignment horizontal="right" vertical="center"/>
    </xf>
    <xf numFmtId="49" fontId="5" fillId="0" borderId="0" xfId="0" applyNumberFormat="1" applyFont="1" applyFill="1" applyBorder="1" applyAlignment="1" applyProtection="1">
      <alignment horizontal="right" vertical="center"/>
    </xf>
    <xf numFmtId="49" fontId="8" fillId="2" borderId="0" xfId="0" applyNumberFormat="1" applyFont="1" applyFill="1" applyBorder="1" applyAlignment="1" applyProtection="1">
      <alignment horizontal="right" vertical="center"/>
    </xf>
    <xf numFmtId="49" fontId="6" fillId="0" borderId="0" xfId="0" applyNumberFormat="1" applyFont="1" applyFill="1" applyBorder="1" applyAlignment="1" applyProtection="1">
      <alignment horizontal="right" vertical="center"/>
    </xf>
    <xf numFmtId="49" fontId="5" fillId="0" borderId="1" xfId="0" applyNumberFormat="1" applyFont="1" applyFill="1" applyBorder="1" applyAlignment="1" applyProtection="1">
      <alignment horizontal="right" vertical="center"/>
    </xf>
    <xf numFmtId="0" fontId="1" fillId="0" borderId="3" xfId="0" applyNumberFormat="1" applyFont="1" applyFill="1" applyBorder="1" applyAlignment="1" applyProtection="1">
      <alignment vertical="center"/>
    </xf>
    <xf numFmtId="0" fontId="1" fillId="0" borderId="27" xfId="0" applyNumberFormat="1" applyFont="1" applyFill="1" applyBorder="1" applyAlignment="1" applyProtection="1">
      <alignment vertical="center"/>
    </xf>
    <xf numFmtId="4" fontId="1" fillId="0" borderId="0" xfId="0" applyNumberFormat="1" applyFont="1" applyFill="1" applyBorder="1" applyAlignment="1" applyProtection="1">
      <alignment horizontal="right" vertical="center"/>
    </xf>
    <xf numFmtId="49" fontId="1" fillId="0" borderId="0" xfId="0" applyNumberFormat="1" applyFont="1" applyFill="1" applyBorder="1" applyAlignment="1" applyProtection="1">
      <alignment horizontal="right" vertical="center"/>
    </xf>
    <xf numFmtId="4" fontId="8" fillId="2" borderId="7" xfId="0" applyNumberFormat="1" applyFont="1" applyFill="1" applyBorder="1" applyAlignment="1" applyProtection="1">
      <alignment horizontal="right" vertical="center"/>
    </xf>
    <xf numFmtId="4" fontId="8" fillId="2" borderId="0" xfId="0" applyNumberFormat="1" applyFont="1" applyFill="1" applyBorder="1" applyAlignment="1" applyProtection="1">
      <alignment horizontal="right" vertical="center"/>
    </xf>
    <xf numFmtId="4" fontId="3" fillId="0" borderId="8" xfId="0" applyNumberFormat="1" applyFont="1" applyFill="1" applyBorder="1" applyAlignment="1" applyProtection="1">
      <alignment horizontal="right" vertical="center"/>
    </xf>
    <xf numFmtId="49" fontId="3" fillId="0" borderId="28" xfId="0" applyNumberFormat="1" applyFont="1" applyFill="1" applyBorder="1" applyAlignment="1" applyProtection="1">
      <alignment horizontal="left" vertical="center"/>
    </xf>
    <xf numFmtId="49" fontId="1" fillId="0" borderId="7" xfId="0" applyNumberFormat="1" applyFont="1" applyFill="1" applyBorder="1" applyAlignment="1" applyProtection="1">
      <alignment horizontal="left" vertical="center"/>
    </xf>
    <xf numFmtId="49" fontId="3" fillId="0" borderId="29" xfId="0" applyNumberFormat="1" applyFont="1" applyFill="1" applyBorder="1" applyAlignment="1" applyProtection="1">
      <alignment horizontal="left" vertical="center"/>
    </xf>
    <xf numFmtId="49" fontId="3" fillId="0" borderId="32" xfId="0" applyNumberFormat="1" applyFont="1" applyFill="1" applyBorder="1" applyAlignment="1" applyProtection="1">
      <alignment horizontal="center" vertical="center"/>
    </xf>
    <xf numFmtId="49" fontId="3" fillId="0" borderId="0" xfId="0" applyNumberFormat="1" applyFont="1" applyFill="1" applyBorder="1" applyAlignment="1" applyProtection="1">
      <alignment horizontal="left" vertical="center"/>
    </xf>
    <xf numFmtId="4" fontId="1" fillId="0" borderId="7" xfId="0" applyNumberFormat="1" applyFont="1" applyFill="1" applyBorder="1" applyAlignment="1" applyProtection="1">
      <alignment horizontal="right" vertical="center"/>
    </xf>
    <xf numFmtId="4" fontId="3" fillId="0" borderId="0" xfId="0" applyNumberFormat="1" applyFont="1" applyFill="1" applyBorder="1" applyAlignment="1" applyProtection="1">
      <alignment horizontal="right" vertical="center"/>
    </xf>
    <xf numFmtId="49" fontId="3" fillId="0" borderId="32" xfId="0" applyNumberFormat="1" applyFont="1" applyFill="1" applyBorder="1" applyAlignment="1" applyProtection="1">
      <alignment horizontal="left" vertical="center"/>
    </xf>
    <xf numFmtId="49" fontId="3" fillId="0" borderId="32" xfId="0" applyNumberFormat="1" applyFont="1" applyFill="1" applyBorder="1" applyAlignment="1" applyProtection="1">
      <alignment horizontal="right" vertical="center"/>
    </xf>
    <xf numFmtId="4" fontId="9" fillId="0" borderId="0" xfId="0" applyNumberFormat="1" applyFont="1" applyFill="1" applyBorder="1" applyAlignment="1" applyProtection="1">
      <alignment horizontal="right" vertical="center"/>
    </xf>
    <xf numFmtId="4" fontId="10" fillId="0" borderId="0" xfId="0" applyNumberFormat="1" applyFont="1" applyFill="1" applyBorder="1" applyAlignment="1" applyProtection="1">
      <alignment horizontal="right" vertical="center"/>
    </xf>
    <xf numFmtId="0" fontId="1" fillId="0" borderId="1" xfId="0" applyNumberFormat="1" applyFont="1" applyFill="1" applyBorder="1" applyAlignment="1" applyProtection="1">
      <alignment vertical="center"/>
    </xf>
    <xf numFmtId="49" fontId="12" fillId="3" borderId="35" xfId="0" applyNumberFormat="1" applyFont="1" applyFill="1" applyBorder="1" applyAlignment="1" applyProtection="1">
      <alignment horizontal="center" vertical="center"/>
    </xf>
    <xf numFmtId="49" fontId="13" fillId="0" borderId="36" xfId="0" applyNumberFormat="1" applyFont="1" applyFill="1" applyBorder="1" applyAlignment="1" applyProtection="1">
      <alignment horizontal="left" vertical="center"/>
    </xf>
    <xf numFmtId="49" fontId="13" fillId="0" borderId="37" xfId="0" applyNumberFormat="1" applyFont="1" applyFill="1" applyBorder="1" applyAlignment="1" applyProtection="1">
      <alignment horizontal="left" vertical="center"/>
    </xf>
    <xf numFmtId="0" fontId="1" fillId="0" borderId="39" xfId="0" applyNumberFormat="1" applyFont="1" applyFill="1" applyBorder="1" applyAlignment="1" applyProtection="1">
      <alignment vertical="center"/>
    </xf>
    <xf numFmtId="49" fontId="7" fillId="0" borderId="7" xfId="0" applyNumberFormat="1" applyFont="1" applyFill="1" applyBorder="1" applyAlignment="1" applyProtection="1">
      <alignment horizontal="left" vertical="center"/>
    </xf>
    <xf numFmtId="49" fontId="14" fillId="0" borderId="35" xfId="0" applyNumberFormat="1" applyFont="1" applyFill="1" applyBorder="1" applyAlignment="1" applyProtection="1">
      <alignment horizontal="left"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23" xfId="0" applyNumberFormat="1" applyFont="1" applyFill="1" applyBorder="1" applyAlignment="1" applyProtection="1">
      <alignment vertical="center"/>
    </xf>
    <xf numFmtId="0" fontId="1" fillId="0" borderId="33" xfId="0" applyNumberFormat="1" applyFont="1" applyFill="1" applyBorder="1" applyAlignment="1" applyProtection="1">
      <alignment vertical="center"/>
    </xf>
    <xf numFmtId="4" fontId="14" fillId="0" borderId="35" xfId="0" applyNumberFormat="1" applyFont="1" applyFill="1" applyBorder="1" applyAlignment="1" applyProtection="1">
      <alignment horizontal="right" vertical="center"/>
    </xf>
    <xf numFmtId="49" fontId="14" fillId="0" borderId="35" xfId="0" applyNumberFormat="1" applyFont="1" applyFill="1" applyBorder="1" applyAlignment="1" applyProtection="1">
      <alignment horizontal="right" vertical="center"/>
    </xf>
    <xf numFmtId="4" fontId="14" fillId="0" borderId="20" xfId="0" applyNumberFormat="1" applyFont="1" applyFill="1" applyBorder="1" applyAlignment="1" applyProtection="1">
      <alignment horizontal="right" vertical="center"/>
    </xf>
    <xf numFmtId="0" fontId="1" fillId="0" borderId="13" xfId="0" applyNumberFormat="1" applyFont="1" applyFill="1" applyBorder="1" applyAlignment="1" applyProtection="1">
      <alignment vertical="center"/>
    </xf>
    <xf numFmtId="0" fontId="1" fillId="0" borderId="24" xfId="0" applyNumberFormat="1" applyFont="1" applyFill="1" applyBorder="1" applyAlignment="1" applyProtection="1">
      <alignment vertical="center"/>
    </xf>
    <xf numFmtId="0" fontId="1" fillId="0" borderId="38" xfId="0" applyNumberFormat="1" applyFont="1" applyFill="1" applyBorder="1" applyAlignment="1" applyProtection="1">
      <alignment vertical="center"/>
    </xf>
    <xf numFmtId="4" fontId="13" fillId="3" borderId="42" xfId="0" applyNumberFormat="1" applyFont="1" applyFill="1" applyBorder="1" applyAlignment="1" applyProtection="1">
      <alignment horizontal="right" vertical="center"/>
    </xf>
    <xf numFmtId="0" fontId="1" fillId="0" borderId="1" xfId="0" applyNumberFormat="1" applyFont="1" applyFill="1" applyBorder="1" applyAlignment="1" applyProtection="1"/>
    <xf numFmtId="166" fontId="8" fillId="2" borderId="7" xfId="0" applyNumberFormat="1" applyFont="1" applyFill="1" applyBorder="1" applyAlignment="1" applyProtection="1">
      <alignment horizontal="right" vertical="center"/>
    </xf>
    <xf numFmtId="166" fontId="5" fillId="0" borderId="0" xfId="0" applyNumberFormat="1" applyFont="1" applyFill="1" applyBorder="1" applyAlignment="1" applyProtection="1">
      <alignment horizontal="right" vertical="center"/>
    </xf>
    <xf numFmtId="166" fontId="9" fillId="0" borderId="0" xfId="0" applyNumberFormat="1" applyFont="1" applyFill="1" applyBorder="1" applyAlignment="1" applyProtection="1">
      <alignment horizontal="right" vertical="center"/>
    </xf>
    <xf numFmtId="166" fontId="8" fillId="2" borderId="0" xfId="0" applyNumberFormat="1" applyFont="1" applyFill="1" applyBorder="1" applyAlignment="1" applyProtection="1">
      <alignment horizontal="right" vertical="center"/>
    </xf>
    <xf numFmtId="166" fontId="6" fillId="0" borderId="0" xfId="0" applyNumberFormat="1" applyFont="1" applyFill="1" applyBorder="1" applyAlignment="1" applyProtection="1">
      <alignment horizontal="right" vertical="center"/>
    </xf>
    <xf numFmtId="166" fontId="10" fillId="0" borderId="0" xfId="0" applyNumberFormat="1" applyFont="1" applyFill="1" applyBorder="1" applyAlignment="1" applyProtection="1">
      <alignment horizontal="right" vertical="center"/>
    </xf>
    <xf numFmtId="166" fontId="5" fillId="0" borderId="1" xfId="0" applyNumberFormat="1" applyFont="1" applyFill="1" applyBorder="1" applyAlignment="1" applyProtection="1">
      <alignment horizontal="right" vertical="center"/>
    </xf>
    <xf numFmtId="49" fontId="2" fillId="0" borderId="1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left" vertical="center" wrapText="1"/>
    </xf>
    <xf numFmtId="0" fontId="1" fillId="0" borderId="8" xfId="0" applyNumberFormat="1" applyFont="1" applyFill="1" applyBorder="1" applyAlignment="1" applyProtection="1">
      <alignment horizontal="left" vertical="center"/>
    </xf>
    <xf numFmtId="0" fontId="1" fillId="0" borderId="3" xfId="0" applyNumberFormat="1" applyFont="1" applyFill="1" applyBorder="1" applyAlignment="1" applyProtection="1">
      <alignment horizontal="left" vertical="center"/>
    </xf>
    <xf numFmtId="0" fontId="1" fillId="0" borderId="0" xfId="0" applyNumberFormat="1" applyFont="1" applyFill="1" applyBorder="1" applyAlignment="1" applyProtection="1">
      <alignment horizontal="left" vertical="center"/>
    </xf>
    <xf numFmtId="0" fontId="3" fillId="0" borderId="8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horizontal="left" vertical="center"/>
    </xf>
    <xf numFmtId="49" fontId="1" fillId="0" borderId="8" xfId="0" applyNumberFormat="1" applyFont="1" applyFill="1" applyBorder="1" applyAlignment="1" applyProtection="1">
      <alignment horizontal="left" vertical="center"/>
    </xf>
    <xf numFmtId="0" fontId="1" fillId="0" borderId="8" xfId="0" applyNumberFormat="1" applyFont="1" applyFill="1" applyBorder="1" applyAlignment="1" applyProtection="1">
      <alignment horizontal="left" vertical="center" wrapText="1"/>
    </xf>
    <xf numFmtId="0" fontId="1" fillId="0" borderId="23" xfId="0" applyNumberFormat="1" applyFont="1" applyFill="1" applyBorder="1" applyAlignment="1" applyProtection="1">
      <alignment horizontal="left" vertical="center"/>
    </xf>
    <xf numFmtId="0" fontId="1" fillId="0" borderId="24" xfId="0" applyNumberFormat="1" applyFont="1" applyFill="1" applyBorder="1" applyAlignment="1" applyProtection="1">
      <alignment horizontal="left" vertical="center"/>
    </xf>
    <xf numFmtId="0" fontId="1" fillId="0" borderId="3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49" fontId="1" fillId="0" borderId="0" xfId="0" applyNumberFormat="1" applyFont="1" applyFill="1" applyBorder="1" applyAlignment="1" applyProtection="1">
      <alignment horizontal="left" vertical="center"/>
    </xf>
    <xf numFmtId="0" fontId="1" fillId="0" borderId="4" xfId="0" applyNumberFormat="1" applyFont="1" applyFill="1" applyBorder="1" applyAlignment="1" applyProtection="1">
      <alignment horizontal="left" vertical="center"/>
    </xf>
    <xf numFmtId="0" fontId="1" fillId="0" borderId="9" xfId="0" applyNumberFormat="1" applyFont="1" applyFill="1" applyBorder="1" applyAlignment="1" applyProtection="1">
      <alignment horizontal="left" vertical="center"/>
    </xf>
    <xf numFmtId="0" fontId="1" fillId="0" borderId="14" xfId="0" applyNumberFormat="1" applyFont="1" applyFill="1" applyBorder="1" applyAlignment="1" applyProtection="1">
      <alignment horizontal="left" vertical="center"/>
    </xf>
    <xf numFmtId="49" fontId="3" fillId="0" borderId="12" xfId="0" applyNumberFormat="1" applyFont="1" applyFill="1" applyBorder="1" applyAlignment="1" applyProtection="1">
      <alignment horizontal="left" vertical="center"/>
    </xf>
    <xf numFmtId="0" fontId="3" fillId="0" borderId="7" xfId="0" applyNumberFormat="1" applyFont="1" applyFill="1" applyBorder="1" applyAlignment="1" applyProtection="1">
      <alignment horizontal="left" vertical="center"/>
    </xf>
    <xf numFmtId="0" fontId="3" fillId="0" borderId="13" xfId="0" applyNumberFormat="1" applyFont="1" applyFill="1" applyBorder="1" applyAlignment="1" applyProtection="1">
      <alignment horizontal="left" vertical="center"/>
    </xf>
    <xf numFmtId="49" fontId="3" fillId="0" borderId="17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49" fontId="3" fillId="0" borderId="4" xfId="0" applyNumberFormat="1" applyFont="1" applyFill="1" applyBorder="1" applyAlignment="1" applyProtection="1">
      <alignment horizontal="left" vertical="center"/>
    </xf>
    <xf numFmtId="0" fontId="3" fillId="0" borderId="9" xfId="0" applyNumberFormat="1" applyFont="1" applyFill="1" applyBorder="1" applyAlignment="1" applyProtection="1">
      <alignment horizontal="left" vertical="center"/>
    </xf>
    <xf numFmtId="0" fontId="3" fillId="0" borderId="14" xfId="0" applyNumberFormat="1" applyFont="1" applyFill="1" applyBorder="1" applyAlignment="1" applyProtection="1">
      <alignment horizontal="left" vertical="center"/>
    </xf>
    <xf numFmtId="49" fontId="8" fillId="2" borderId="7" xfId="0" applyNumberFormat="1" applyFont="1" applyFill="1" applyBorder="1" applyAlignment="1" applyProtection="1">
      <alignment horizontal="left" vertical="center"/>
    </xf>
    <xf numFmtId="0" fontId="8" fillId="2" borderId="7" xfId="0" applyNumberFormat="1" applyFont="1" applyFill="1" applyBorder="1" applyAlignment="1" applyProtection="1">
      <alignment horizontal="left" vertical="center"/>
    </xf>
    <xf numFmtId="49" fontId="5" fillId="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49" fontId="8" fillId="2" borderId="0" xfId="0" applyNumberFormat="1" applyFont="1" applyFill="1" applyBorder="1" applyAlignment="1" applyProtection="1">
      <alignment horizontal="left" vertical="center"/>
    </xf>
    <xf numFmtId="0" fontId="8" fillId="2" borderId="0" xfId="0" applyNumberFormat="1" applyFont="1" applyFill="1" applyBorder="1" applyAlignment="1" applyProtection="1">
      <alignment horizontal="left" vertical="center"/>
    </xf>
    <xf numFmtId="49" fontId="6" fillId="0" borderId="0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49" fontId="5" fillId="0" borderId="1" xfId="0" applyNumberFormat="1" applyFont="1" applyFill="1" applyBorder="1" applyAlignment="1" applyProtection="1">
      <alignment horizontal="left" vertical="center"/>
    </xf>
    <xf numFmtId="0" fontId="5" fillId="0" borderId="1" xfId="0" applyNumberFormat="1" applyFont="1" applyFill="1" applyBorder="1" applyAlignment="1" applyProtection="1">
      <alignment horizontal="left" vertical="center"/>
    </xf>
    <xf numFmtId="49" fontId="3" fillId="0" borderId="8" xfId="0" applyNumberFormat="1" applyFont="1" applyFill="1" applyBorder="1" applyAlignment="1" applyProtection="1">
      <alignment horizontal="left" vertical="center"/>
    </xf>
    <xf numFmtId="0" fontId="3" fillId="0" borderId="8" xfId="0" applyNumberFormat="1" applyFont="1" applyFill="1" applyBorder="1" applyAlignment="1" applyProtection="1">
      <alignment horizontal="left" vertical="center"/>
    </xf>
    <xf numFmtId="49" fontId="3" fillId="0" borderId="30" xfId="0" applyNumberFormat="1" applyFont="1" applyFill="1" applyBorder="1" applyAlignment="1" applyProtection="1">
      <alignment horizontal="left" vertical="center"/>
    </xf>
    <xf numFmtId="0" fontId="3" fillId="0" borderId="31" xfId="0" applyNumberFormat="1" applyFont="1" applyFill="1" applyBorder="1" applyAlignment="1" applyProtection="1">
      <alignment horizontal="left" vertical="center"/>
    </xf>
    <xf numFmtId="49" fontId="1" fillId="0" borderId="7" xfId="0" applyNumberFormat="1" applyFont="1" applyFill="1" applyBorder="1" applyAlignment="1" applyProtection="1">
      <alignment horizontal="left" vertical="center"/>
    </xf>
    <xf numFmtId="0" fontId="1" fillId="0" borderId="7" xfId="0" applyNumberFormat="1" applyFont="1" applyFill="1" applyBorder="1" applyAlignment="1" applyProtection="1">
      <alignment horizontal="left" vertical="center"/>
    </xf>
    <xf numFmtId="49" fontId="9" fillId="0" borderId="0" xfId="0" applyNumberFormat="1" applyFont="1" applyFill="1" applyBorder="1" applyAlignment="1" applyProtection="1">
      <alignment horizontal="left" vertical="center"/>
    </xf>
    <xf numFmtId="0" fontId="9" fillId="0" borderId="0" xfId="0" applyNumberFormat="1" applyFont="1" applyFill="1" applyBorder="1" applyAlignment="1" applyProtection="1">
      <alignment horizontal="left" vertical="center"/>
    </xf>
    <xf numFmtId="49" fontId="10" fillId="0" borderId="0" xfId="0" applyNumberFormat="1" applyFont="1" applyFill="1" applyBorder="1" applyAlignment="1" applyProtection="1">
      <alignment horizontal="left" vertical="center"/>
    </xf>
    <xf numFmtId="0" fontId="10" fillId="0" borderId="0" xfId="0" applyNumberFormat="1" applyFont="1" applyFill="1" applyBorder="1" applyAlignment="1" applyProtection="1">
      <alignment horizontal="left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49" fontId="1" fillId="0" borderId="23" xfId="0" applyNumberFormat="1" applyFont="1" applyFill="1" applyBorder="1" applyAlignment="1" applyProtection="1">
      <alignment horizontal="left" vertical="center"/>
    </xf>
    <xf numFmtId="49" fontId="1" fillId="0" borderId="24" xfId="0" applyNumberFormat="1" applyFont="1" applyFill="1" applyBorder="1" applyAlignment="1" applyProtection="1">
      <alignment horizontal="left" vertical="center"/>
    </xf>
    <xf numFmtId="0" fontId="1" fillId="0" borderId="33" xfId="0" applyNumberFormat="1" applyFont="1" applyFill="1" applyBorder="1" applyAlignment="1" applyProtection="1">
      <alignment horizontal="left" vertical="center"/>
    </xf>
    <xf numFmtId="0" fontId="1" fillId="0" borderId="1" xfId="0" applyNumberFormat="1" applyFont="1" applyFill="1" applyBorder="1" applyAlignment="1" applyProtection="1">
      <alignment horizontal="left" vertical="center"/>
    </xf>
    <xf numFmtId="0" fontId="1" fillId="0" borderId="24" xfId="0" applyNumberFormat="1" applyFont="1" applyFill="1" applyBorder="1" applyAlignment="1" applyProtection="1">
      <alignment horizontal="left" vertical="center" wrapText="1"/>
    </xf>
    <xf numFmtId="0" fontId="1" fillId="0" borderId="46" xfId="0" applyNumberFormat="1" applyFont="1" applyFill="1" applyBorder="1" applyAlignment="1" applyProtection="1">
      <alignment horizontal="left" vertical="center"/>
    </xf>
    <xf numFmtId="49" fontId="11" fillId="0" borderId="34" xfId="0" applyNumberFormat="1" applyFont="1" applyFill="1" applyBorder="1" applyAlignment="1" applyProtection="1">
      <alignment horizontal="center" vertical="center"/>
    </xf>
    <xf numFmtId="0" fontId="11" fillId="0" borderId="34" xfId="0" applyNumberFormat="1" applyFont="1" applyFill="1" applyBorder="1" applyAlignment="1" applyProtection="1">
      <alignment horizontal="center" vertical="center"/>
    </xf>
    <xf numFmtId="49" fontId="15" fillId="0" borderId="38" xfId="0" applyNumberFormat="1" applyFont="1" applyFill="1" applyBorder="1" applyAlignment="1" applyProtection="1">
      <alignment horizontal="left" vertical="center"/>
    </xf>
    <xf numFmtId="0" fontId="15" fillId="0" borderId="42" xfId="0" applyNumberFormat="1" applyFont="1" applyFill="1" applyBorder="1" applyAlignment="1" applyProtection="1">
      <alignment horizontal="left" vertical="center"/>
    </xf>
    <xf numFmtId="49" fontId="14" fillId="0" borderId="38" xfId="0" applyNumberFormat="1" applyFont="1" applyFill="1" applyBorder="1" applyAlignment="1" applyProtection="1">
      <alignment horizontal="left" vertical="center"/>
    </xf>
    <xf numFmtId="0" fontId="14" fillId="0" borderId="42" xfId="0" applyNumberFormat="1" applyFont="1" applyFill="1" applyBorder="1" applyAlignment="1" applyProtection="1">
      <alignment horizontal="left" vertical="center"/>
    </xf>
    <xf numFmtId="49" fontId="13" fillId="0" borderId="38" xfId="0" applyNumberFormat="1" applyFont="1" applyFill="1" applyBorder="1" applyAlignment="1" applyProtection="1">
      <alignment horizontal="left" vertical="center"/>
    </xf>
    <xf numFmtId="0" fontId="13" fillId="0" borderId="42" xfId="0" applyNumberFormat="1" applyFont="1" applyFill="1" applyBorder="1" applyAlignment="1" applyProtection="1">
      <alignment horizontal="left" vertical="center"/>
    </xf>
    <xf numFmtId="49" fontId="13" fillId="3" borderId="38" xfId="0" applyNumberFormat="1" applyFont="1" applyFill="1" applyBorder="1" applyAlignment="1" applyProtection="1">
      <alignment horizontal="left" vertical="center"/>
    </xf>
    <xf numFmtId="0" fontId="13" fillId="3" borderId="34" xfId="0" applyNumberFormat="1" applyFont="1" applyFill="1" applyBorder="1" applyAlignment="1" applyProtection="1">
      <alignment horizontal="left" vertical="center"/>
    </xf>
    <xf numFmtId="49" fontId="14" fillId="0" borderId="40" xfId="0" applyNumberFormat="1" applyFont="1" applyFill="1" applyBorder="1" applyAlignment="1" applyProtection="1">
      <alignment horizontal="left" vertical="center"/>
    </xf>
    <xf numFmtId="0" fontId="14" fillId="0" borderId="7" xfId="0" applyNumberFormat="1" applyFont="1" applyFill="1" applyBorder="1" applyAlignment="1" applyProtection="1">
      <alignment horizontal="left" vertical="center"/>
    </xf>
    <xf numFmtId="0" fontId="14" fillId="0" borderId="43" xfId="0" applyNumberFormat="1" applyFont="1" applyFill="1" applyBorder="1" applyAlignment="1" applyProtection="1">
      <alignment horizontal="left" vertical="center"/>
    </xf>
    <xf numFmtId="49" fontId="14" fillId="0" borderId="27" xfId="0" applyNumberFormat="1" applyFont="1" applyFill="1" applyBorder="1" applyAlignment="1" applyProtection="1">
      <alignment horizontal="left" vertical="center"/>
    </xf>
    <xf numFmtId="0" fontId="14" fillId="0" borderId="0" xfId="0" applyNumberFormat="1" applyFont="1" applyFill="1" applyBorder="1" applyAlignment="1" applyProtection="1">
      <alignment horizontal="left" vertical="center"/>
    </xf>
    <xf numFmtId="0" fontId="14" fillId="0" borderId="44" xfId="0" applyNumberFormat="1" applyFont="1" applyFill="1" applyBorder="1" applyAlignment="1" applyProtection="1">
      <alignment horizontal="left" vertical="center"/>
    </xf>
    <xf numFmtId="49" fontId="14" fillId="0" borderId="41" xfId="0" applyNumberFormat="1" applyFont="1" applyFill="1" applyBorder="1" applyAlignment="1" applyProtection="1">
      <alignment horizontal="left" vertical="center"/>
    </xf>
    <xf numFmtId="0" fontId="14" fillId="0" borderId="9" xfId="0" applyNumberFormat="1" applyFont="1" applyFill="1" applyBorder="1" applyAlignment="1" applyProtection="1">
      <alignment horizontal="left" vertical="center"/>
    </xf>
    <xf numFmtId="0" fontId="14" fillId="0" borderId="45" xfId="0" applyNumberFormat="1" applyFont="1" applyFill="1" applyBorder="1" applyAlignment="1" applyProtection="1">
      <alignment horizontal="left" vertical="center"/>
    </xf>
  </cellXfs>
  <cellStyles count="1">
    <cellStyle name="Normální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000000"/>
      <rgbColor rgb="00000000"/>
      <rgbColor rgb="00DBDBDB"/>
      <rgbColor rgb="00000000"/>
      <rgbColor rgb="00C0C0C0"/>
      <rgbColor rgb="00000000"/>
      <rgbColor rgb="00C0C0C0"/>
      <rgbColor rgb="00000000"/>
      <rgbColor rgb="00000000"/>
      <rgbColor rgb="00000000"/>
      <rgbColor rgb="00000000"/>
      <rgbColor rgb="00000000"/>
      <rgbColor rgb="00000000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285750</xdr:colOff>
      <xdr:row>0</xdr:row>
      <xdr:rowOff>885825</xdr:rowOff>
    </xdr:to>
    <xdr:pic>
      <xdr:nvPicPr>
        <xdr:cNvPr id="409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95350" cy="885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866775</xdr:colOff>
      <xdr:row>0</xdr:row>
      <xdr:rowOff>885825</xdr:rowOff>
    </xdr:to>
    <xdr:pic>
      <xdr:nvPicPr>
        <xdr:cNvPr id="20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85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657225</xdr:colOff>
      <xdr:row>0</xdr:row>
      <xdr:rowOff>885825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04875" cy="885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285750</xdr:colOff>
      <xdr:row>0</xdr:row>
      <xdr:rowOff>885825</xdr:rowOff>
    </xdr:to>
    <xdr:pic>
      <xdr:nvPicPr>
        <xdr:cNvPr id="30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95350" cy="885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7"/>
  <sheetViews>
    <sheetView tabSelected="1" workbookViewId="0">
      <selection activeCell="A2" sqref="A2:B3"/>
    </sheetView>
  </sheetViews>
  <sheetFormatPr defaultColWidth="11.5703125" defaultRowHeight="12.75" x14ac:dyDescent="0.2"/>
  <cols>
    <col min="1" max="1" width="9.140625" customWidth="1"/>
    <col min="2" max="2" width="12.85546875" customWidth="1"/>
    <col min="3" max="3" width="22.85546875" customWidth="1"/>
    <col min="4" max="4" width="10" customWidth="1"/>
    <col min="5" max="5" width="14" customWidth="1"/>
    <col min="6" max="6" width="22.85546875" customWidth="1"/>
    <col min="7" max="7" width="9.140625" customWidth="1"/>
    <col min="8" max="8" width="12.85546875" customWidth="1"/>
    <col min="9" max="9" width="22.85546875" customWidth="1"/>
  </cols>
  <sheetData>
    <row r="1" spans="1:10" ht="72.95" customHeight="1" x14ac:dyDescent="0.2">
      <c r="A1" s="66"/>
      <c r="B1" s="49"/>
      <c r="C1" s="121" t="s">
        <v>378</v>
      </c>
      <c r="D1" s="75"/>
      <c r="E1" s="75"/>
      <c r="F1" s="75"/>
      <c r="G1" s="75"/>
      <c r="H1" s="75"/>
      <c r="I1" s="75"/>
    </row>
    <row r="2" spans="1:10" x14ac:dyDescent="0.2">
      <c r="A2" s="76" t="s">
        <v>1</v>
      </c>
      <c r="B2" s="77"/>
      <c r="C2" s="80" t="str">
        <f>'Stavební rozpočet'!C2</f>
        <v>Dostavba vodovodu lokalita Kuřívody, Ralsko</v>
      </c>
      <c r="D2" s="112"/>
      <c r="E2" s="83" t="s">
        <v>270</v>
      </c>
      <c r="F2" s="83" t="str">
        <f>'Stavební rozpočet'!I2</f>
        <v> </v>
      </c>
      <c r="G2" s="77"/>
      <c r="H2" s="83" t="s">
        <v>402</v>
      </c>
      <c r="I2" s="122"/>
      <c r="J2" s="31"/>
    </row>
    <row r="3" spans="1:10" x14ac:dyDescent="0.2">
      <c r="A3" s="78"/>
      <c r="B3" s="79"/>
      <c r="C3" s="81"/>
      <c r="D3" s="81"/>
      <c r="E3" s="79"/>
      <c r="F3" s="79"/>
      <c r="G3" s="79"/>
      <c r="H3" s="79"/>
      <c r="I3" s="85"/>
      <c r="J3" s="31"/>
    </row>
    <row r="4" spans="1:10" x14ac:dyDescent="0.2">
      <c r="A4" s="86" t="s">
        <v>2</v>
      </c>
      <c r="B4" s="79"/>
      <c r="C4" s="87" t="str">
        <f>'Stavební rozpočet'!C4</f>
        <v xml:space="preserve"> </v>
      </c>
      <c r="D4" s="79"/>
      <c r="E4" s="87" t="s">
        <v>271</v>
      </c>
      <c r="F4" s="87" t="str">
        <f>'Stavební rozpočet'!I4</f>
        <v> </v>
      </c>
      <c r="G4" s="79"/>
      <c r="H4" s="87" t="s">
        <v>402</v>
      </c>
      <c r="I4" s="123"/>
      <c r="J4" s="31"/>
    </row>
    <row r="5" spans="1:10" x14ac:dyDescent="0.2">
      <c r="A5" s="78"/>
      <c r="B5" s="79"/>
      <c r="C5" s="79"/>
      <c r="D5" s="79"/>
      <c r="E5" s="79"/>
      <c r="F5" s="79"/>
      <c r="G5" s="79"/>
      <c r="H5" s="79"/>
      <c r="I5" s="85"/>
      <c r="J5" s="31"/>
    </row>
    <row r="6" spans="1:10" x14ac:dyDescent="0.2">
      <c r="A6" s="86" t="s">
        <v>3</v>
      </c>
      <c r="B6" s="79"/>
      <c r="C6" s="87" t="str">
        <f>'Stavební rozpočet'!C6</f>
        <v xml:space="preserve"> </v>
      </c>
      <c r="D6" s="79"/>
      <c r="E6" s="87" t="s">
        <v>272</v>
      </c>
      <c r="F6" s="87" t="str">
        <f>'Stavební rozpočet'!I6</f>
        <v> </v>
      </c>
      <c r="G6" s="79"/>
      <c r="H6" s="87" t="s">
        <v>402</v>
      </c>
      <c r="I6" s="123"/>
      <c r="J6" s="31"/>
    </row>
    <row r="7" spans="1:10" x14ac:dyDescent="0.2">
      <c r="A7" s="78"/>
      <c r="B7" s="79"/>
      <c r="C7" s="79"/>
      <c r="D7" s="79"/>
      <c r="E7" s="79"/>
      <c r="F7" s="79"/>
      <c r="G7" s="79"/>
      <c r="H7" s="79"/>
      <c r="I7" s="85"/>
      <c r="J7" s="31"/>
    </row>
    <row r="8" spans="1:10" x14ac:dyDescent="0.2">
      <c r="A8" s="86" t="s">
        <v>259</v>
      </c>
      <c r="B8" s="79"/>
      <c r="C8" s="87"/>
      <c r="D8" s="79"/>
      <c r="E8" s="87" t="s">
        <v>260</v>
      </c>
      <c r="F8" s="87"/>
      <c r="G8" s="79"/>
      <c r="H8" s="88" t="s">
        <v>403</v>
      </c>
      <c r="I8" s="123" t="s">
        <v>83</v>
      </c>
      <c r="J8" s="31"/>
    </row>
    <row r="9" spans="1:10" x14ac:dyDescent="0.2">
      <c r="A9" s="78"/>
      <c r="B9" s="79"/>
      <c r="C9" s="79"/>
      <c r="D9" s="79"/>
      <c r="E9" s="79"/>
      <c r="F9" s="79"/>
      <c r="G9" s="79"/>
      <c r="H9" s="79"/>
      <c r="I9" s="85"/>
      <c r="J9" s="31"/>
    </row>
    <row r="10" spans="1:10" x14ac:dyDescent="0.2">
      <c r="A10" s="86" t="s">
        <v>4</v>
      </c>
      <c r="B10" s="79"/>
      <c r="C10" s="87" t="str">
        <f>'Stavební rozpočet'!C8</f>
        <v xml:space="preserve"> </v>
      </c>
      <c r="D10" s="79"/>
      <c r="E10" s="87" t="s">
        <v>273</v>
      </c>
      <c r="F10" s="87" t="str">
        <f>'Stavební rozpočet'!I8</f>
        <v> </v>
      </c>
      <c r="G10" s="79"/>
      <c r="H10" s="88" t="s">
        <v>404</v>
      </c>
      <c r="I10" s="126"/>
      <c r="J10" s="31"/>
    </row>
    <row r="11" spans="1:10" x14ac:dyDescent="0.2">
      <c r="A11" s="124"/>
      <c r="B11" s="125"/>
      <c r="C11" s="125"/>
      <c r="D11" s="125"/>
      <c r="E11" s="125"/>
      <c r="F11" s="125"/>
      <c r="G11" s="125"/>
      <c r="H11" s="125"/>
      <c r="I11" s="127"/>
      <c r="J11" s="31"/>
    </row>
    <row r="12" spans="1:10" ht="23.45" customHeight="1" x14ac:dyDescent="0.2">
      <c r="A12" s="128" t="s">
        <v>363</v>
      </c>
      <c r="B12" s="129"/>
      <c r="C12" s="129"/>
      <c r="D12" s="129"/>
      <c r="E12" s="129"/>
      <c r="F12" s="129"/>
      <c r="G12" s="129"/>
      <c r="H12" s="129"/>
      <c r="I12" s="129"/>
    </row>
    <row r="13" spans="1:10" ht="26.45" customHeight="1" x14ac:dyDescent="0.2">
      <c r="A13" s="50" t="s">
        <v>364</v>
      </c>
      <c r="B13" s="130" t="s">
        <v>376</v>
      </c>
      <c r="C13" s="131"/>
      <c r="D13" s="50" t="s">
        <v>379</v>
      </c>
      <c r="E13" s="130" t="s">
        <v>388</v>
      </c>
      <c r="F13" s="131"/>
      <c r="G13" s="50" t="s">
        <v>389</v>
      </c>
      <c r="H13" s="130" t="s">
        <v>405</v>
      </c>
      <c r="I13" s="131"/>
      <c r="J13" s="31"/>
    </row>
    <row r="14" spans="1:10" ht="15.2" customHeight="1" x14ac:dyDescent="0.2">
      <c r="A14" s="51" t="s">
        <v>365</v>
      </c>
      <c r="B14" s="55" t="s">
        <v>377</v>
      </c>
      <c r="C14" s="59">
        <f>SUM('Stavební rozpočet'!AB12:AB101)</f>
        <v>0</v>
      </c>
      <c r="D14" s="132" t="s">
        <v>380</v>
      </c>
      <c r="E14" s="133"/>
      <c r="F14" s="59">
        <v>0</v>
      </c>
      <c r="G14" s="132" t="s">
        <v>255</v>
      </c>
      <c r="H14" s="133"/>
      <c r="I14" s="59">
        <v>0</v>
      </c>
      <c r="J14" s="31"/>
    </row>
    <row r="15" spans="1:10" ht="15.2" customHeight="1" x14ac:dyDescent="0.2">
      <c r="A15" s="52"/>
      <c r="B15" s="55" t="s">
        <v>280</v>
      </c>
      <c r="C15" s="59">
        <f>SUM('Stavební rozpočet'!AC12:AC101)</f>
        <v>0</v>
      </c>
      <c r="D15" s="132" t="s">
        <v>381</v>
      </c>
      <c r="E15" s="133"/>
      <c r="F15" s="59">
        <v>0</v>
      </c>
      <c r="G15" s="132" t="s">
        <v>390</v>
      </c>
      <c r="H15" s="133"/>
      <c r="I15" s="59">
        <v>0</v>
      </c>
      <c r="J15" s="31"/>
    </row>
    <row r="16" spans="1:10" ht="15.2" customHeight="1" x14ac:dyDescent="0.2">
      <c r="A16" s="51" t="s">
        <v>366</v>
      </c>
      <c r="B16" s="55" t="s">
        <v>377</v>
      </c>
      <c r="C16" s="59">
        <f>SUM('Stavební rozpočet'!AD12:AD101)</f>
        <v>0</v>
      </c>
      <c r="D16" s="132" t="s">
        <v>382</v>
      </c>
      <c r="E16" s="133"/>
      <c r="F16" s="59">
        <v>0</v>
      </c>
      <c r="G16" s="132" t="s">
        <v>391</v>
      </c>
      <c r="H16" s="133"/>
      <c r="I16" s="59">
        <v>0</v>
      </c>
      <c r="J16" s="31"/>
    </row>
    <row r="17" spans="1:10" ht="15.2" customHeight="1" x14ac:dyDescent="0.2">
      <c r="A17" s="52"/>
      <c r="B17" s="55" t="s">
        <v>280</v>
      </c>
      <c r="C17" s="59">
        <f>SUM('Stavební rozpočet'!AE12:AE101)</f>
        <v>0</v>
      </c>
      <c r="D17" s="132"/>
      <c r="E17" s="133"/>
      <c r="F17" s="60"/>
      <c r="G17" s="132" t="s">
        <v>392</v>
      </c>
      <c r="H17" s="133"/>
      <c r="I17" s="59">
        <v>0</v>
      </c>
      <c r="J17" s="31"/>
    </row>
    <row r="18" spans="1:10" ht="15.2" customHeight="1" x14ac:dyDescent="0.2">
      <c r="A18" s="51" t="s">
        <v>367</v>
      </c>
      <c r="B18" s="55" t="s">
        <v>377</v>
      </c>
      <c r="C18" s="59">
        <f>SUM('Stavební rozpočet'!AF12:AF101)</f>
        <v>0</v>
      </c>
      <c r="D18" s="132"/>
      <c r="E18" s="133"/>
      <c r="F18" s="60"/>
      <c r="G18" s="132" t="s">
        <v>393</v>
      </c>
      <c r="H18" s="133"/>
      <c r="I18" s="59">
        <v>0</v>
      </c>
      <c r="J18" s="31"/>
    </row>
    <row r="19" spans="1:10" ht="15.2" customHeight="1" x14ac:dyDescent="0.2">
      <c r="A19" s="52"/>
      <c r="B19" s="55" t="s">
        <v>280</v>
      </c>
      <c r="C19" s="59">
        <f>SUM('Stavební rozpočet'!AG12:AG101)</f>
        <v>0</v>
      </c>
      <c r="D19" s="132"/>
      <c r="E19" s="133"/>
      <c r="F19" s="60"/>
      <c r="G19" s="132" t="s">
        <v>394</v>
      </c>
      <c r="H19" s="133"/>
      <c r="I19" s="59">
        <v>0</v>
      </c>
      <c r="J19" s="31"/>
    </row>
    <row r="20" spans="1:10" ht="15.2" customHeight="1" x14ac:dyDescent="0.2">
      <c r="A20" s="134" t="s">
        <v>368</v>
      </c>
      <c r="B20" s="135"/>
      <c r="C20" s="59">
        <f>SUM('Stavební rozpočet'!AH12:AH101)</f>
        <v>0</v>
      </c>
      <c r="D20" s="132"/>
      <c r="E20" s="133"/>
      <c r="F20" s="60"/>
      <c r="G20" s="132"/>
      <c r="H20" s="133"/>
      <c r="I20" s="60"/>
      <c r="J20" s="31"/>
    </row>
    <row r="21" spans="1:10" ht="15.2" customHeight="1" x14ac:dyDescent="0.2">
      <c r="A21" s="134" t="s">
        <v>369</v>
      </c>
      <c r="B21" s="135"/>
      <c r="C21" s="59">
        <f>SUM('Stavební rozpočet'!Z12:Z101)</f>
        <v>0</v>
      </c>
      <c r="D21" s="132"/>
      <c r="E21" s="133"/>
      <c r="F21" s="60"/>
      <c r="G21" s="132"/>
      <c r="H21" s="133"/>
      <c r="I21" s="60"/>
      <c r="J21" s="31"/>
    </row>
    <row r="22" spans="1:10" ht="16.7" customHeight="1" x14ac:dyDescent="0.2">
      <c r="A22" s="134" t="s">
        <v>370</v>
      </c>
      <c r="B22" s="135"/>
      <c r="C22" s="59">
        <f>SUM(C14:C21)</f>
        <v>0</v>
      </c>
      <c r="D22" s="134" t="s">
        <v>383</v>
      </c>
      <c r="E22" s="135"/>
      <c r="F22" s="59">
        <f>SUM(F14:F21)</f>
        <v>0</v>
      </c>
      <c r="G22" s="134" t="s">
        <v>395</v>
      </c>
      <c r="H22" s="135"/>
      <c r="I22" s="59">
        <f>SUM(I14:I21)</f>
        <v>0</v>
      </c>
      <c r="J22" s="31"/>
    </row>
    <row r="23" spans="1:10" ht="15.2" customHeight="1" x14ac:dyDescent="0.2">
      <c r="A23" s="8"/>
      <c r="B23" s="8"/>
      <c r="C23" s="57"/>
      <c r="D23" s="134" t="s">
        <v>384</v>
      </c>
      <c r="E23" s="135"/>
      <c r="F23" s="61">
        <v>0</v>
      </c>
      <c r="G23" s="134" t="s">
        <v>396</v>
      </c>
      <c r="H23" s="135"/>
      <c r="I23" s="59">
        <v>0</v>
      </c>
      <c r="J23" s="31"/>
    </row>
    <row r="24" spans="1:10" ht="15.2" customHeight="1" x14ac:dyDescent="0.2">
      <c r="D24" s="8"/>
      <c r="E24" s="8"/>
      <c r="F24" s="62"/>
      <c r="G24" s="134" t="s">
        <v>397</v>
      </c>
      <c r="H24" s="135"/>
      <c r="I24" s="64"/>
    </row>
    <row r="25" spans="1:10" ht="15.2" customHeight="1" x14ac:dyDescent="0.2">
      <c r="F25" s="63"/>
      <c r="G25" s="134" t="s">
        <v>398</v>
      </c>
      <c r="H25" s="135"/>
      <c r="I25" s="59">
        <v>0</v>
      </c>
      <c r="J25" s="31"/>
    </row>
    <row r="26" spans="1:10" x14ac:dyDescent="0.2">
      <c r="A26" s="49"/>
      <c r="B26" s="49"/>
      <c r="C26" s="49"/>
      <c r="G26" s="8"/>
      <c r="H26" s="8"/>
      <c r="I26" s="8"/>
    </row>
    <row r="27" spans="1:10" ht="15.2" customHeight="1" x14ac:dyDescent="0.2">
      <c r="A27" s="136" t="s">
        <v>371</v>
      </c>
      <c r="B27" s="137"/>
      <c r="C27" s="65">
        <f>SUM('Stavební rozpočet'!AJ12:AJ101)</f>
        <v>0</v>
      </c>
      <c r="D27" s="58"/>
      <c r="E27" s="49"/>
      <c r="F27" s="49"/>
      <c r="G27" s="49"/>
      <c r="H27" s="49"/>
      <c r="I27" s="49"/>
    </row>
    <row r="28" spans="1:10" ht="15.2" customHeight="1" x14ac:dyDescent="0.2">
      <c r="A28" s="136" t="s">
        <v>372</v>
      </c>
      <c r="B28" s="137"/>
      <c r="C28" s="65">
        <f>SUM('Stavební rozpočet'!AK12:AK101)</f>
        <v>0</v>
      </c>
      <c r="D28" s="136" t="s">
        <v>385</v>
      </c>
      <c r="E28" s="137"/>
      <c r="F28" s="65">
        <f>ROUND(C28*(15/100),2)</f>
        <v>0</v>
      </c>
      <c r="G28" s="136" t="s">
        <v>399</v>
      </c>
      <c r="H28" s="137"/>
      <c r="I28" s="65">
        <f>SUM(C27:C29)</f>
        <v>0</v>
      </c>
      <c r="J28" s="31"/>
    </row>
    <row r="29" spans="1:10" ht="15.2" customHeight="1" x14ac:dyDescent="0.2">
      <c r="A29" s="136" t="s">
        <v>373</v>
      </c>
      <c r="B29" s="137"/>
      <c r="C29" s="65">
        <f>SUM('Stavební rozpočet'!AL12:AL101)+(F22+I22+F23+I23+I24+I25)</f>
        <v>0</v>
      </c>
      <c r="D29" s="136" t="s">
        <v>386</v>
      </c>
      <c r="E29" s="137"/>
      <c r="F29" s="65">
        <f>ROUND(C29*(21/100),2)</f>
        <v>0</v>
      </c>
      <c r="G29" s="136" t="s">
        <v>400</v>
      </c>
      <c r="H29" s="137"/>
      <c r="I29" s="65">
        <f>SUM(F28:F29)+I28</f>
        <v>0</v>
      </c>
      <c r="J29" s="31"/>
    </row>
    <row r="30" spans="1:10" x14ac:dyDescent="0.2">
      <c r="A30" s="53"/>
      <c r="B30" s="53"/>
      <c r="C30" s="53"/>
      <c r="D30" s="53"/>
      <c r="E30" s="53"/>
      <c r="F30" s="53"/>
      <c r="G30" s="53"/>
      <c r="H30" s="53"/>
      <c r="I30" s="53"/>
    </row>
    <row r="31" spans="1:10" ht="14.45" customHeight="1" x14ac:dyDescent="0.2">
      <c r="A31" s="138" t="s">
        <v>374</v>
      </c>
      <c r="B31" s="139"/>
      <c r="C31" s="140"/>
      <c r="D31" s="138" t="s">
        <v>387</v>
      </c>
      <c r="E31" s="139"/>
      <c r="F31" s="140"/>
      <c r="G31" s="138" t="s">
        <v>401</v>
      </c>
      <c r="H31" s="139"/>
      <c r="I31" s="140"/>
      <c r="J31" s="32"/>
    </row>
    <row r="32" spans="1:10" ht="14.45" customHeight="1" x14ac:dyDescent="0.2">
      <c r="A32" s="141"/>
      <c r="B32" s="142"/>
      <c r="C32" s="143"/>
      <c r="D32" s="141"/>
      <c r="E32" s="142"/>
      <c r="F32" s="143"/>
      <c r="G32" s="141"/>
      <c r="H32" s="142"/>
      <c r="I32" s="143"/>
      <c r="J32" s="32"/>
    </row>
    <row r="33" spans="1:10" ht="14.45" customHeight="1" x14ac:dyDescent="0.2">
      <c r="A33" s="141"/>
      <c r="B33" s="142"/>
      <c r="C33" s="143"/>
      <c r="D33" s="141"/>
      <c r="E33" s="142"/>
      <c r="F33" s="143"/>
      <c r="G33" s="141"/>
      <c r="H33" s="142"/>
      <c r="I33" s="143"/>
      <c r="J33" s="32"/>
    </row>
    <row r="34" spans="1:10" ht="14.45" customHeight="1" x14ac:dyDescent="0.2">
      <c r="A34" s="141"/>
      <c r="B34" s="142"/>
      <c r="C34" s="143"/>
      <c r="D34" s="141"/>
      <c r="E34" s="142"/>
      <c r="F34" s="143"/>
      <c r="G34" s="141"/>
      <c r="H34" s="142"/>
      <c r="I34" s="143"/>
      <c r="J34" s="32"/>
    </row>
    <row r="35" spans="1:10" ht="14.45" customHeight="1" x14ac:dyDescent="0.2">
      <c r="A35" s="144" t="s">
        <v>375</v>
      </c>
      <c r="B35" s="145"/>
      <c r="C35" s="146"/>
      <c r="D35" s="144" t="s">
        <v>375</v>
      </c>
      <c r="E35" s="145"/>
      <c r="F35" s="146"/>
      <c r="G35" s="144" t="s">
        <v>375</v>
      </c>
      <c r="H35" s="145"/>
      <c r="I35" s="146"/>
      <c r="J35" s="32"/>
    </row>
    <row r="36" spans="1:10" ht="11.25" customHeight="1" x14ac:dyDescent="0.2">
      <c r="A36" s="54" t="s">
        <v>84</v>
      </c>
      <c r="B36" s="56"/>
      <c r="C36" s="56"/>
      <c r="D36" s="56"/>
      <c r="E36" s="56"/>
      <c r="F36" s="56"/>
      <c r="G36" s="56"/>
      <c r="H36" s="56"/>
      <c r="I36" s="56"/>
    </row>
    <row r="37" spans="1:10" x14ac:dyDescent="0.2">
      <c r="A37" s="87"/>
      <c r="B37" s="79"/>
      <c r="C37" s="79"/>
      <c r="D37" s="79"/>
      <c r="E37" s="79"/>
      <c r="F37" s="79"/>
      <c r="G37" s="79"/>
      <c r="H37" s="79"/>
      <c r="I37" s="79"/>
    </row>
  </sheetData>
  <mergeCells count="83">
    <mergeCell ref="A37:I37"/>
    <mergeCell ref="A34:C34"/>
    <mergeCell ref="D34:F34"/>
    <mergeCell ref="G34:I34"/>
    <mergeCell ref="A35:C35"/>
    <mergeCell ref="D35:F35"/>
    <mergeCell ref="G35:I35"/>
    <mergeCell ref="A32:C32"/>
    <mergeCell ref="D32:F32"/>
    <mergeCell ref="G32:I32"/>
    <mergeCell ref="A33:C33"/>
    <mergeCell ref="D33:F33"/>
    <mergeCell ref="G33:I33"/>
    <mergeCell ref="A29:B29"/>
    <mergeCell ref="D29:E29"/>
    <mergeCell ref="G29:H29"/>
    <mergeCell ref="A31:C31"/>
    <mergeCell ref="D31:F31"/>
    <mergeCell ref="G31:I31"/>
    <mergeCell ref="D23:E23"/>
    <mergeCell ref="G23:H23"/>
    <mergeCell ref="G24:H24"/>
    <mergeCell ref="G25:H25"/>
    <mergeCell ref="A27:B27"/>
    <mergeCell ref="A28:B28"/>
    <mergeCell ref="D28:E28"/>
    <mergeCell ref="G28:H28"/>
    <mergeCell ref="A21:B21"/>
    <mergeCell ref="D21:E21"/>
    <mergeCell ref="G21:H21"/>
    <mergeCell ref="A22:B22"/>
    <mergeCell ref="D22:E22"/>
    <mergeCell ref="G22:H22"/>
    <mergeCell ref="D18:E18"/>
    <mergeCell ref="G18:H18"/>
    <mergeCell ref="D19:E19"/>
    <mergeCell ref="G19:H19"/>
    <mergeCell ref="A20:B20"/>
    <mergeCell ref="D20:E20"/>
    <mergeCell ref="G20:H20"/>
    <mergeCell ref="D15:E15"/>
    <mergeCell ref="G15:H15"/>
    <mergeCell ref="D16:E16"/>
    <mergeCell ref="G16:H16"/>
    <mergeCell ref="D17:E17"/>
    <mergeCell ref="G17:H17"/>
    <mergeCell ref="A12:I12"/>
    <mergeCell ref="B13:C13"/>
    <mergeCell ref="E13:F13"/>
    <mergeCell ref="H13:I13"/>
    <mergeCell ref="D14:E14"/>
    <mergeCell ref="G14:H14"/>
    <mergeCell ref="A10:B11"/>
    <mergeCell ref="C10:D11"/>
    <mergeCell ref="E10:E11"/>
    <mergeCell ref="F10:G11"/>
    <mergeCell ref="H10:H11"/>
    <mergeCell ref="I10:I11"/>
    <mergeCell ref="A8:B9"/>
    <mergeCell ref="C8:D9"/>
    <mergeCell ref="E8:E9"/>
    <mergeCell ref="F8:G9"/>
    <mergeCell ref="H8:H9"/>
    <mergeCell ref="I8:I9"/>
    <mergeCell ref="A6:B7"/>
    <mergeCell ref="C6:D7"/>
    <mergeCell ref="E6:E7"/>
    <mergeCell ref="F6:G7"/>
    <mergeCell ref="H6:H7"/>
    <mergeCell ref="I6:I7"/>
    <mergeCell ref="A4:B5"/>
    <mergeCell ref="C4:D5"/>
    <mergeCell ref="E4:E5"/>
    <mergeCell ref="F4:G5"/>
    <mergeCell ref="H4:H5"/>
    <mergeCell ref="I4:I5"/>
    <mergeCell ref="C1:I1"/>
    <mergeCell ref="A2:B3"/>
    <mergeCell ref="C2:D3"/>
    <mergeCell ref="E2:E3"/>
    <mergeCell ref="F2:G3"/>
    <mergeCell ref="H2:H3"/>
    <mergeCell ref="I2:I3"/>
  </mergeCells>
  <pageMargins left="0.39400000000000002" right="0.39400000000000002" top="0.59099999999999997" bottom="0.59099999999999997" header="0.5" footer="0.5"/>
  <pageSetup paperSize="0" orientation="portrait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5"/>
  <sheetViews>
    <sheetView workbookViewId="0">
      <pane ySplit="10" topLeftCell="A11" activePane="bottomLeft" state="frozenSplit"/>
      <selection pane="bottomLeft" activeCell="A2" sqref="A2:A3"/>
    </sheetView>
  </sheetViews>
  <sheetFormatPr defaultColWidth="11.5703125" defaultRowHeight="12.75" x14ac:dyDescent="0.2"/>
  <cols>
    <col min="1" max="1" width="16.5703125" customWidth="1"/>
    <col min="2" max="2" width="6" customWidth="1"/>
    <col min="3" max="3" width="59" customWidth="1"/>
    <col min="4" max="4" width="13.85546875" customWidth="1"/>
    <col min="5" max="5" width="22.140625" hidden="1" customWidth="1"/>
    <col min="6" max="6" width="21" hidden="1" customWidth="1"/>
    <col min="7" max="7" width="20.85546875" customWidth="1"/>
    <col min="8" max="9" width="0" hidden="1" customWidth="1"/>
  </cols>
  <sheetData>
    <row r="1" spans="1:9" ht="72.95" customHeight="1" x14ac:dyDescent="0.35">
      <c r="A1" s="74" t="s">
        <v>316</v>
      </c>
      <c r="B1" s="75"/>
      <c r="C1" s="75"/>
      <c r="D1" s="75"/>
      <c r="E1" s="75"/>
      <c r="F1" s="75"/>
      <c r="G1" s="75"/>
    </row>
    <row r="2" spans="1:9" x14ac:dyDescent="0.2">
      <c r="A2" s="76" t="s">
        <v>1</v>
      </c>
      <c r="B2" s="80" t="str">
        <f>'Stavební rozpočet'!C2</f>
        <v>Dostavba vodovodu lokalita Kuřívody, Ralsko</v>
      </c>
      <c r="C2" s="112"/>
      <c r="D2" s="83" t="s">
        <v>270</v>
      </c>
      <c r="E2" s="83" t="str">
        <f>'Stavební rozpočet'!I2</f>
        <v> </v>
      </c>
      <c r="F2" s="77"/>
      <c r="G2" s="84"/>
      <c r="H2" s="31"/>
    </row>
    <row r="3" spans="1:9" x14ac:dyDescent="0.2">
      <c r="A3" s="78"/>
      <c r="B3" s="81"/>
      <c r="C3" s="81"/>
      <c r="D3" s="79"/>
      <c r="E3" s="79"/>
      <c r="F3" s="79"/>
      <c r="G3" s="85"/>
      <c r="H3" s="31"/>
    </row>
    <row r="4" spans="1:9" x14ac:dyDescent="0.2">
      <c r="A4" s="86" t="s">
        <v>2</v>
      </c>
      <c r="B4" s="87" t="str">
        <f>'Stavební rozpočet'!C4</f>
        <v xml:space="preserve"> </v>
      </c>
      <c r="C4" s="79"/>
      <c r="D4" s="87" t="s">
        <v>271</v>
      </c>
      <c r="E4" s="87" t="str">
        <f>'Stavební rozpočet'!I4</f>
        <v> </v>
      </c>
      <c r="F4" s="79"/>
      <c r="G4" s="85"/>
      <c r="H4" s="31"/>
    </row>
    <row r="5" spans="1:9" x14ac:dyDescent="0.2">
      <c r="A5" s="78"/>
      <c r="B5" s="79"/>
      <c r="C5" s="79"/>
      <c r="D5" s="79"/>
      <c r="E5" s="79"/>
      <c r="F5" s="79"/>
      <c r="G5" s="85"/>
      <c r="H5" s="31"/>
    </row>
    <row r="6" spans="1:9" x14ac:dyDescent="0.2">
      <c r="A6" s="86" t="s">
        <v>3</v>
      </c>
      <c r="B6" s="87" t="str">
        <f>'Stavební rozpočet'!C6</f>
        <v xml:space="preserve"> </v>
      </c>
      <c r="C6" s="79"/>
      <c r="D6" s="87" t="s">
        <v>272</v>
      </c>
      <c r="E6" s="87" t="str">
        <f>'Stavební rozpočet'!I6</f>
        <v> </v>
      </c>
      <c r="F6" s="79"/>
      <c r="G6" s="85"/>
      <c r="H6" s="31"/>
    </row>
    <row r="7" spans="1:9" x14ac:dyDescent="0.2">
      <c r="A7" s="78"/>
      <c r="B7" s="79"/>
      <c r="C7" s="79"/>
      <c r="D7" s="79"/>
      <c r="E7" s="79"/>
      <c r="F7" s="79"/>
      <c r="G7" s="85"/>
      <c r="H7" s="31"/>
    </row>
    <row r="8" spans="1:9" x14ac:dyDescent="0.2">
      <c r="A8" s="86" t="s">
        <v>273</v>
      </c>
      <c r="B8" s="87" t="str">
        <f>'Stavební rozpočet'!I8</f>
        <v> </v>
      </c>
      <c r="C8" s="79"/>
      <c r="D8" s="88" t="s">
        <v>261</v>
      </c>
      <c r="E8" s="87"/>
      <c r="F8" s="79"/>
      <c r="G8" s="85"/>
      <c r="H8" s="31"/>
    </row>
    <row r="9" spans="1:9" x14ac:dyDescent="0.2">
      <c r="A9" s="89"/>
      <c r="B9" s="90"/>
      <c r="C9" s="90"/>
      <c r="D9" s="90"/>
      <c r="E9" s="90"/>
      <c r="F9" s="90"/>
      <c r="G9" s="91"/>
      <c r="H9" s="31"/>
    </row>
    <row r="10" spans="1:9" x14ac:dyDescent="0.2">
      <c r="A10" s="38" t="s">
        <v>317</v>
      </c>
      <c r="B10" s="40" t="s">
        <v>85</v>
      </c>
      <c r="C10" s="113" t="s">
        <v>318</v>
      </c>
      <c r="D10" s="114"/>
      <c r="E10" s="41" t="s">
        <v>319</v>
      </c>
      <c r="F10" s="41" t="s">
        <v>320</v>
      </c>
      <c r="G10" s="41" t="s">
        <v>321</v>
      </c>
      <c r="H10" s="31"/>
    </row>
    <row r="11" spans="1:9" x14ac:dyDescent="0.2">
      <c r="A11" s="39"/>
      <c r="B11" s="39" t="s">
        <v>17</v>
      </c>
      <c r="C11" s="115" t="s">
        <v>170</v>
      </c>
      <c r="D11" s="116"/>
      <c r="E11" s="43">
        <f>'Stavební rozpočet'!I12</f>
        <v>0</v>
      </c>
      <c r="F11" s="43">
        <f>'Stavební rozpočet'!J12</f>
        <v>0</v>
      </c>
      <c r="G11" s="43">
        <f>'Stavební rozpočet'!K12</f>
        <v>0</v>
      </c>
      <c r="H11" s="33" t="s">
        <v>322</v>
      </c>
      <c r="I11" s="33">
        <f t="shared" ref="I11:I23" si="0">IF(H11="F",0,G11)</f>
        <v>0</v>
      </c>
    </row>
    <row r="12" spans="1:9" x14ac:dyDescent="0.2">
      <c r="A12" s="14"/>
      <c r="B12" s="14" t="s">
        <v>19</v>
      </c>
      <c r="C12" s="88" t="s">
        <v>174</v>
      </c>
      <c r="D12" s="79"/>
      <c r="E12" s="33">
        <f>'Stavební rozpočet'!I16</f>
        <v>0</v>
      </c>
      <c r="F12" s="33">
        <f>'Stavební rozpočet'!J16</f>
        <v>0</v>
      </c>
      <c r="G12" s="33">
        <f>'Stavební rozpočet'!K16</f>
        <v>0</v>
      </c>
      <c r="H12" s="33" t="s">
        <v>322</v>
      </c>
      <c r="I12" s="33">
        <f t="shared" si="0"/>
        <v>0</v>
      </c>
    </row>
    <row r="13" spans="1:9" x14ac:dyDescent="0.2">
      <c r="A13" s="14"/>
      <c r="B13" s="14" t="s">
        <v>21</v>
      </c>
      <c r="C13" s="88" t="s">
        <v>180</v>
      </c>
      <c r="D13" s="79"/>
      <c r="E13" s="33">
        <f>'Stavební rozpočet'!I22</f>
        <v>0</v>
      </c>
      <c r="F13" s="33">
        <f>'Stavební rozpočet'!J22</f>
        <v>0</v>
      </c>
      <c r="G13" s="33">
        <f>'Stavební rozpočet'!K22</f>
        <v>0</v>
      </c>
      <c r="H13" s="33" t="s">
        <v>322</v>
      </c>
      <c r="I13" s="33">
        <f t="shared" si="0"/>
        <v>0</v>
      </c>
    </row>
    <row r="14" spans="1:9" x14ac:dyDescent="0.2">
      <c r="A14" s="14"/>
      <c r="B14" s="14" t="s">
        <v>22</v>
      </c>
      <c r="C14" s="88" t="s">
        <v>183</v>
      </c>
      <c r="D14" s="79"/>
      <c r="E14" s="33">
        <f>'Stavební rozpočet'!I25</f>
        <v>0</v>
      </c>
      <c r="F14" s="33">
        <f>'Stavební rozpočet'!J25</f>
        <v>0</v>
      </c>
      <c r="G14" s="33">
        <f>'Stavební rozpočet'!K25</f>
        <v>0</v>
      </c>
      <c r="H14" s="33" t="s">
        <v>322</v>
      </c>
      <c r="I14" s="33">
        <f t="shared" si="0"/>
        <v>0</v>
      </c>
    </row>
    <row r="15" spans="1:9" x14ac:dyDescent="0.2">
      <c r="A15" s="14"/>
      <c r="B15" s="14" t="s">
        <v>23</v>
      </c>
      <c r="C15" s="88" t="s">
        <v>189</v>
      </c>
      <c r="D15" s="79"/>
      <c r="E15" s="33">
        <f>'Stavební rozpočet'!I31</f>
        <v>0</v>
      </c>
      <c r="F15" s="33">
        <f>'Stavební rozpočet'!J31</f>
        <v>0</v>
      </c>
      <c r="G15" s="33">
        <f>'Stavební rozpočet'!K31</f>
        <v>0</v>
      </c>
      <c r="H15" s="33" t="s">
        <v>322</v>
      </c>
      <c r="I15" s="33">
        <f t="shared" si="0"/>
        <v>0</v>
      </c>
    </row>
    <row r="16" spans="1:9" x14ac:dyDescent="0.2">
      <c r="A16" s="14"/>
      <c r="B16" s="14" t="s">
        <v>51</v>
      </c>
      <c r="C16" s="88" t="s">
        <v>196</v>
      </c>
      <c r="D16" s="79"/>
      <c r="E16" s="33">
        <f>'Stavební rozpočet'!I38</f>
        <v>0</v>
      </c>
      <c r="F16" s="33">
        <f>'Stavební rozpočet'!J38</f>
        <v>0</v>
      </c>
      <c r="G16" s="33">
        <f>'Stavební rozpočet'!K38</f>
        <v>0</v>
      </c>
      <c r="H16" s="33" t="s">
        <v>322</v>
      </c>
      <c r="I16" s="33">
        <f t="shared" si="0"/>
        <v>0</v>
      </c>
    </row>
    <row r="17" spans="1:9" x14ac:dyDescent="0.2">
      <c r="A17" s="14"/>
      <c r="B17" s="14" t="s">
        <v>62</v>
      </c>
      <c r="C17" s="88" t="s">
        <v>198</v>
      </c>
      <c r="D17" s="79"/>
      <c r="E17" s="33">
        <f>'Stavební rozpočet'!I40</f>
        <v>0</v>
      </c>
      <c r="F17" s="33">
        <f>'Stavební rozpočet'!J40</f>
        <v>0</v>
      </c>
      <c r="G17" s="33">
        <f>'Stavební rozpočet'!K40</f>
        <v>0</v>
      </c>
      <c r="H17" s="33" t="s">
        <v>322</v>
      </c>
      <c r="I17" s="33">
        <f t="shared" si="0"/>
        <v>0</v>
      </c>
    </row>
    <row r="18" spans="1:9" x14ac:dyDescent="0.2">
      <c r="A18" s="14"/>
      <c r="B18" s="14" t="s">
        <v>110</v>
      </c>
      <c r="C18" s="88" t="s">
        <v>201</v>
      </c>
      <c r="D18" s="79"/>
      <c r="E18" s="33">
        <f>'Stavební rozpočet'!I43</f>
        <v>0</v>
      </c>
      <c r="F18" s="33">
        <f>'Stavební rozpočet'!J43</f>
        <v>0</v>
      </c>
      <c r="G18" s="33">
        <f>'Stavební rozpočet'!K43</f>
        <v>0</v>
      </c>
      <c r="H18" s="33" t="s">
        <v>322</v>
      </c>
      <c r="I18" s="33">
        <f t="shared" si="0"/>
        <v>0</v>
      </c>
    </row>
    <row r="19" spans="1:9" x14ac:dyDescent="0.2">
      <c r="A19" s="14"/>
      <c r="B19" s="14" t="s">
        <v>125</v>
      </c>
      <c r="C19" s="88" t="s">
        <v>216</v>
      </c>
      <c r="D19" s="79"/>
      <c r="E19" s="33">
        <f>'Stavební rozpočet'!I58</f>
        <v>0</v>
      </c>
      <c r="F19" s="33">
        <f>'Stavební rozpočet'!J58</f>
        <v>0</v>
      </c>
      <c r="G19" s="33">
        <f>'Stavební rozpočet'!K58</f>
        <v>0</v>
      </c>
      <c r="H19" s="33" t="s">
        <v>322</v>
      </c>
      <c r="I19" s="33">
        <f t="shared" si="0"/>
        <v>0</v>
      </c>
    </row>
    <row r="20" spans="1:9" x14ac:dyDescent="0.2">
      <c r="A20" s="14"/>
      <c r="B20" s="14" t="s">
        <v>154</v>
      </c>
      <c r="C20" s="88" t="s">
        <v>245</v>
      </c>
      <c r="D20" s="79"/>
      <c r="E20" s="33">
        <f>'Stavební rozpočet'!I89</f>
        <v>0</v>
      </c>
      <c r="F20" s="33">
        <f>'Stavební rozpočet'!J89</f>
        <v>0</v>
      </c>
      <c r="G20" s="33">
        <f>'Stavební rozpočet'!K89</f>
        <v>0</v>
      </c>
      <c r="H20" s="33" t="s">
        <v>322</v>
      </c>
      <c r="I20" s="33">
        <f t="shared" si="0"/>
        <v>0</v>
      </c>
    </row>
    <row r="21" spans="1:9" x14ac:dyDescent="0.2">
      <c r="A21" s="14"/>
      <c r="B21" s="14" t="s">
        <v>159</v>
      </c>
      <c r="C21" s="88" t="s">
        <v>250</v>
      </c>
      <c r="D21" s="79"/>
      <c r="E21" s="33">
        <f>'Stavební rozpočet'!I94</f>
        <v>0</v>
      </c>
      <c r="F21" s="33">
        <f>'Stavební rozpočet'!J94</f>
        <v>0</v>
      </c>
      <c r="G21" s="33">
        <f>'Stavební rozpočet'!K94</f>
        <v>0</v>
      </c>
      <c r="H21" s="33" t="s">
        <v>322</v>
      </c>
      <c r="I21" s="33">
        <f t="shared" si="0"/>
        <v>0</v>
      </c>
    </row>
    <row r="22" spans="1:9" x14ac:dyDescent="0.2">
      <c r="A22" s="14"/>
      <c r="B22" s="14" t="s">
        <v>161</v>
      </c>
      <c r="C22" s="88" t="s">
        <v>252</v>
      </c>
      <c r="D22" s="79"/>
      <c r="E22" s="33">
        <f>'Stavební rozpočet'!I96</f>
        <v>0</v>
      </c>
      <c r="F22" s="33">
        <f>'Stavební rozpočet'!J96</f>
        <v>0</v>
      </c>
      <c r="G22" s="33">
        <f>'Stavební rozpočet'!K96</f>
        <v>0</v>
      </c>
      <c r="H22" s="33" t="s">
        <v>322</v>
      </c>
      <c r="I22" s="33">
        <f t="shared" si="0"/>
        <v>0</v>
      </c>
    </row>
    <row r="23" spans="1:9" x14ac:dyDescent="0.2">
      <c r="A23" s="14"/>
      <c r="B23" s="14" t="s">
        <v>163</v>
      </c>
      <c r="C23" s="88" t="s">
        <v>254</v>
      </c>
      <c r="D23" s="79"/>
      <c r="E23" s="33">
        <f>'Stavební rozpočet'!I98</f>
        <v>0</v>
      </c>
      <c r="F23" s="33">
        <f>'Stavební rozpočet'!J98</f>
        <v>0</v>
      </c>
      <c r="G23" s="33">
        <f>'Stavební rozpočet'!K98</f>
        <v>0</v>
      </c>
      <c r="H23" s="33" t="s">
        <v>322</v>
      </c>
      <c r="I23" s="33">
        <f t="shared" si="0"/>
        <v>0</v>
      </c>
    </row>
    <row r="25" spans="1:9" x14ac:dyDescent="0.2">
      <c r="F25" s="42" t="s">
        <v>279</v>
      </c>
      <c r="G25" s="44">
        <f>SUM(I11:I23)</f>
        <v>0</v>
      </c>
    </row>
  </sheetData>
  <mergeCells count="31">
    <mergeCell ref="C22:D22"/>
    <mergeCell ref="C23:D23"/>
    <mergeCell ref="C16:D16"/>
    <mergeCell ref="C17:D17"/>
    <mergeCell ref="C18:D18"/>
    <mergeCell ref="C19:D19"/>
    <mergeCell ref="C20:D20"/>
    <mergeCell ref="C21:D21"/>
    <mergeCell ref="C10:D10"/>
    <mergeCell ref="C11:D11"/>
    <mergeCell ref="C12:D12"/>
    <mergeCell ref="C13:D13"/>
    <mergeCell ref="C14:D14"/>
    <mergeCell ref="C15:D15"/>
    <mergeCell ref="A6:A7"/>
    <mergeCell ref="B6:C7"/>
    <mergeCell ref="D6:D7"/>
    <mergeCell ref="E6:G7"/>
    <mergeCell ref="A8:A9"/>
    <mergeCell ref="B8:C9"/>
    <mergeCell ref="D8:D9"/>
    <mergeCell ref="E8:G9"/>
    <mergeCell ref="A1:G1"/>
    <mergeCell ref="A2:A3"/>
    <mergeCell ref="B2:C3"/>
    <mergeCell ref="D2:D3"/>
    <mergeCell ref="E2:G3"/>
    <mergeCell ref="A4:A5"/>
    <mergeCell ref="B4:C5"/>
    <mergeCell ref="D4:D5"/>
    <mergeCell ref="E4:G5"/>
  </mergeCells>
  <pageMargins left="0.39400000000000002" right="0.39400000000000002" top="0.59099999999999997" bottom="0.59099999999999997" header="0.5" footer="0.5"/>
  <pageSetup paperSize="0" fitToHeight="0" orientation="portrait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J104"/>
  <sheetViews>
    <sheetView workbookViewId="0">
      <pane ySplit="11" topLeftCell="A12" activePane="bottomLeft" state="frozenSplit"/>
      <selection pane="bottomLeft" activeCell="A2" sqref="A2:B3"/>
    </sheetView>
  </sheetViews>
  <sheetFormatPr defaultColWidth="11.5703125" defaultRowHeight="12.75" x14ac:dyDescent="0.2"/>
  <cols>
    <col min="1" max="1" width="3.7109375" customWidth="1"/>
    <col min="2" max="2" width="14.28515625" customWidth="1"/>
    <col min="3" max="3" width="78.140625" customWidth="1"/>
    <col min="6" max="6" width="4.85546875" customWidth="1"/>
    <col min="7" max="7" width="12.85546875" customWidth="1"/>
    <col min="8" max="8" width="12" customWidth="1"/>
    <col min="9" max="10" width="14.28515625" hidden="1" customWidth="1"/>
    <col min="11" max="11" width="14.28515625" customWidth="1"/>
    <col min="12" max="12" width="11.7109375" customWidth="1"/>
    <col min="25" max="62" width="12.140625" hidden="1" customWidth="1"/>
  </cols>
  <sheetData>
    <row r="1" spans="1:62" ht="72.95" customHeight="1" x14ac:dyDescent="0.35">
      <c r="A1" s="74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</row>
    <row r="2" spans="1:62" x14ac:dyDescent="0.2">
      <c r="A2" s="76" t="s">
        <v>1</v>
      </c>
      <c r="B2" s="77"/>
      <c r="C2" s="80" t="s">
        <v>167</v>
      </c>
      <c r="D2" s="82" t="s">
        <v>258</v>
      </c>
      <c r="E2" s="77"/>
      <c r="F2" s="82" t="s">
        <v>6</v>
      </c>
      <c r="G2" s="77"/>
      <c r="H2" s="83" t="s">
        <v>270</v>
      </c>
      <c r="I2" s="82" t="s">
        <v>276</v>
      </c>
      <c r="J2" s="77"/>
      <c r="K2" s="77"/>
      <c r="L2" s="84"/>
      <c r="M2" s="31"/>
    </row>
    <row r="3" spans="1:62" x14ac:dyDescent="0.2">
      <c r="A3" s="78"/>
      <c r="B3" s="79"/>
      <c r="C3" s="81"/>
      <c r="D3" s="79"/>
      <c r="E3" s="79"/>
      <c r="F3" s="79"/>
      <c r="G3" s="79"/>
      <c r="H3" s="79"/>
      <c r="I3" s="79"/>
      <c r="J3" s="79"/>
      <c r="K3" s="79"/>
      <c r="L3" s="85"/>
      <c r="M3" s="31"/>
    </row>
    <row r="4" spans="1:62" x14ac:dyDescent="0.2">
      <c r="A4" s="86" t="s">
        <v>2</v>
      </c>
      <c r="B4" s="79"/>
      <c r="C4" s="87" t="s">
        <v>6</v>
      </c>
      <c r="D4" s="88" t="s">
        <v>259</v>
      </c>
      <c r="E4" s="79"/>
      <c r="F4" s="88"/>
      <c r="G4" s="79"/>
      <c r="H4" s="87" t="s">
        <v>271</v>
      </c>
      <c r="I4" s="88" t="s">
        <v>276</v>
      </c>
      <c r="J4" s="79"/>
      <c r="K4" s="79"/>
      <c r="L4" s="85"/>
      <c r="M4" s="31"/>
    </row>
    <row r="5" spans="1:62" x14ac:dyDescent="0.2">
      <c r="A5" s="78"/>
      <c r="B5" s="79"/>
      <c r="C5" s="79"/>
      <c r="D5" s="79"/>
      <c r="E5" s="79"/>
      <c r="F5" s="79"/>
      <c r="G5" s="79"/>
      <c r="H5" s="79"/>
      <c r="I5" s="79"/>
      <c r="J5" s="79"/>
      <c r="K5" s="79"/>
      <c r="L5" s="85"/>
      <c r="M5" s="31"/>
    </row>
    <row r="6" spans="1:62" x14ac:dyDescent="0.2">
      <c r="A6" s="86" t="s">
        <v>3</v>
      </c>
      <c r="B6" s="79"/>
      <c r="C6" s="87" t="s">
        <v>6</v>
      </c>
      <c r="D6" s="88" t="s">
        <v>260</v>
      </c>
      <c r="E6" s="79"/>
      <c r="F6" s="88"/>
      <c r="G6" s="79"/>
      <c r="H6" s="87" t="s">
        <v>272</v>
      </c>
      <c r="I6" s="88" t="s">
        <v>276</v>
      </c>
      <c r="J6" s="79"/>
      <c r="K6" s="79"/>
      <c r="L6" s="85"/>
      <c r="M6" s="31"/>
    </row>
    <row r="7" spans="1:62" x14ac:dyDescent="0.2">
      <c r="A7" s="78"/>
      <c r="B7" s="79"/>
      <c r="C7" s="79"/>
      <c r="D7" s="79"/>
      <c r="E7" s="79"/>
      <c r="F7" s="79"/>
      <c r="G7" s="79"/>
      <c r="H7" s="79"/>
      <c r="I7" s="79"/>
      <c r="J7" s="79"/>
      <c r="K7" s="79"/>
      <c r="L7" s="85"/>
      <c r="M7" s="31"/>
    </row>
    <row r="8" spans="1:62" x14ac:dyDescent="0.2">
      <c r="A8" s="86" t="s">
        <v>4</v>
      </c>
      <c r="B8" s="79"/>
      <c r="C8" s="87" t="s">
        <v>6</v>
      </c>
      <c r="D8" s="88" t="s">
        <v>261</v>
      </c>
      <c r="E8" s="79"/>
      <c r="F8" s="88"/>
      <c r="G8" s="79"/>
      <c r="H8" s="87" t="s">
        <v>273</v>
      </c>
      <c r="I8" s="88" t="s">
        <v>276</v>
      </c>
      <c r="J8" s="79"/>
      <c r="K8" s="79"/>
      <c r="L8" s="85"/>
      <c r="M8" s="31"/>
    </row>
    <row r="9" spans="1:62" x14ac:dyDescent="0.2">
      <c r="A9" s="89"/>
      <c r="B9" s="90"/>
      <c r="C9" s="90"/>
      <c r="D9" s="90"/>
      <c r="E9" s="90"/>
      <c r="F9" s="90"/>
      <c r="G9" s="90"/>
      <c r="H9" s="90"/>
      <c r="I9" s="90"/>
      <c r="J9" s="90"/>
      <c r="K9" s="90"/>
      <c r="L9" s="91"/>
      <c r="M9" s="31"/>
    </row>
    <row r="10" spans="1:62" x14ac:dyDescent="0.2">
      <c r="A10" s="1" t="s">
        <v>5</v>
      </c>
      <c r="B10" s="10" t="s">
        <v>85</v>
      </c>
      <c r="C10" s="92" t="s">
        <v>168</v>
      </c>
      <c r="D10" s="93"/>
      <c r="E10" s="94"/>
      <c r="F10" s="10" t="s">
        <v>262</v>
      </c>
      <c r="G10" s="15" t="s">
        <v>269</v>
      </c>
      <c r="H10" s="19" t="s">
        <v>274</v>
      </c>
      <c r="I10" s="95" t="s">
        <v>277</v>
      </c>
      <c r="J10" s="96"/>
      <c r="K10" s="97"/>
      <c r="L10" s="24" t="s">
        <v>282</v>
      </c>
      <c r="M10" s="32"/>
    </row>
    <row r="11" spans="1:62" x14ac:dyDescent="0.2">
      <c r="A11" s="2" t="s">
        <v>6</v>
      </c>
      <c r="B11" s="11" t="s">
        <v>6</v>
      </c>
      <c r="C11" s="98" t="s">
        <v>169</v>
      </c>
      <c r="D11" s="99"/>
      <c r="E11" s="100"/>
      <c r="F11" s="11" t="s">
        <v>6</v>
      </c>
      <c r="G11" s="11" t="s">
        <v>6</v>
      </c>
      <c r="H11" s="20" t="s">
        <v>275</v>
      </c>
      <c r="I11" s="21" t="s">
        <v>278</v>
      </c>
      <c r="J11" s="22" t="s">
        <v>280</v>
      </c>
      <c r="K11" s="23" t="s">
        <v>281</v>
      </c>
      <c r="L11" s="25" t="s">
        <v>283</v>
      </c>
      <c r="M11" s="32"/>
      <c r="Z11" s="28" t="s">
        <v>285</v>
      </c>
      <c r="AA11" s="28" t="s">
        <v>286</v>
      </c>
      <c r="AB11" s="28" t="s">
        <v>287</v>
      </c>
      <c r="AC11" s="28" t="s">
        <v>288</v>
      </c>
      <c r="AD11" s="28" t="s">
        <v>289</v>
      </c>
      <c r="AE11" s="28" t="s">
        <v>290</v>
      </c>
      <c r="AF11" s="28" t="s">
        <v>291</v>
      </c>
      <c r="AG11" s="28" t="s">
        <v>292</v>
      </c>
      <c r="AH11" s="28" t="s">
        <v>293</v>
      </c>
      <c r="BH11" s="28" t="s">
        <v>313</v>
      </c>
      <c r="BI11" s="28" t="s">
        <v>314</v>
      </c>
      <c r="BJ11" s="28" t="s">
        <v>315</v>
      </c>
    </row>
    <row r="12" spans="1:62" x14ac:dyDescent="0.2">
      <c r="A12" s="3"/>
      <c r="B12" s="12" t="s">
        <v>17</v>
      </c>
      <c r="C12" s="101" t="s">
        <v>170</v>
      </c>
      <c r="D12" s="102"/>
      <c r="E12" s="102"/>
      <c r="F12" s="3" t="s">
        <v>6</v>
      </c>
      <c r="G12" s="3" t="s">
        <v>6</v>
      </c>
      <c r="H12" s="3" t="s">
        <v>6</v>
      </c>
      <c r="I12" s="35">
        <f>SUM(I13:I15)</f>
        <v>0</v>
      </c>
      <c r="J12" s="35">
        <f>SUM(J13:J15)</f>
        <v>0</v>
      </c>
      <c r="K12" s="35">
        <f>SUM(K13:K15)</f>
        <v>0</v>
      </c>
      <c r="L12" s="26"/>
      <c r="AI12" s="28"/>
      <c r="AS12" s="36">
        <f>SUM(AJ13:AJ15)</f>
        <v>0</v>
      </c>
      <c r="AT12" s="36">
        <f>SUM(AK13:AK15)</f>
        <v>0</v>
      </c>
      <c r="AU12" s="36">
        <f>SUM(AL13:AL15)</f>
        <v>0</v>
      </c>
    </row>
    <row r="13" spans="1:62" x14ac:dyDescent="0.2">
      <c r="A13" s="4" t="s">
        <v>7</v>
      </c>
      <c r="B13" s="4" t="s">
        <v>86</v>
      </c>
      <c r="C13" s="103" t="s">
        <v>171</v>
      </c>
      <c r="D13" s="104"/>
      <c r="E13" s="104"/>
      <c r="F13" s="4" t="s">
        <v>263</v>
      </c>
      <c r="G13" s="68">
        <v>71.680999999999997</v>
      </c>
      <c r="H13" s="16">
        <v>0</v>
      </c>
      <c r="I13" s="16">
        <f>G13*AO13</f>
        <v>0</v>
      </c>
      <c r="J13" s="16">
        <f>G13*AP13</f>
        <v>0</v>
      </c>
      <c r="K13" s="16">
        <f>G13*H13</f>
        <v>0</v>
      </c>
      <c r="L13" s="27" t="s">
        <v>284</v>
      </c>
      <c r="Z13" s="33">
        <f>IF(AQ13="5",BJ13,0)</f>
        <v>0</v>
      </c>
      <c r="AB13" s="33">
        <f>IF(AQ13="1",BH13,0)</f>
        <v>0</v>
      </c>
      <c r="AC13" s="33">
        <f>IF(AQ13="1",BI13,0)</f>
        <v>0</v>
      </c>
      <c r="AD13" s="33">
        <f>IF(AQ13="7",BH13,0)</f>
        <v>0</v>
      </c>
      <c r="AE13" s="33">
        <f>IF(AQ13="7",BI13,0)</f>
        <v>0</v>
      </c>
      <c r="AF13" s="33">
        <f>IF(AQ13="2",BH13,0)</f>
        <v>0</v>
      </c>
      <c r="AG13" s="33">
        <f>IF(AQ13="2",BI13,0)</f>
        <v>0</v>
      </c>
      <c r="AH13" s="33">
        <f>IF(AQ13="0",BJ13,0)</f>
        <v>0</v>
      </c>
      <c r="AI13" s="28"/>
      <c r="AJ13" s="16">
        <f>IF(AN13=0,K13,0)</f>
        <v>0</v>
      </c>
      <c r="AK13" s="16">
        <f>IF(AN13=15,K13,0)</f>
        <v>0</v>
      </c>
      <c r="AL13" s="16">
        <f>IF(AN13=21,K13,0)</f>
        <v>0</v>
      </c>
      <c r="AN13" s="33">
        <v>21</v>
      </c>
      <c r="AO13" s="33">
        <f>H13*0</f>
        <v>0</v>
      </c>
      <c r="AP13" s="33">
        <f>H13*(1-0)</f>
        <v>0</v>
      </c>
      <c r="AQ13" s="27" t="s">
        <v>7</v>
      </c>
      <c r="AV13" s="33">
        <f>AW13+AX13</f>
        <v>0</v>
      </c>
      <c r="AW13" s="33">
        <f>G13*AO13</f>
        <v>0</v>
      </c>
      <c r="AX13" s="33">
        <f>G13*AP13</f>
        <v>0</v>
      </c>
      <c r="AY13" s="34" t="s">
        <v>294</v>
      </c>
      <c r="AZ13" s="34" t="s">
        <v>307</v>
      </c>
      <c r="BA13" s="28" t="s">
        <v>312</v>
      </c>
      <c r="BC13" s="33">
        <f>AW13+AX13</f>
        <v>0</v>
      </c>
      <c r="BD13" s="33">
        <f>H13/(100-BE13)*100</f>
        <v>0</v>
      </c>
      <c r="BE13" s="33">
        <v>0</v>
      </c>
      <c r="BF13" s="33">
        <f>13</f>
        <v>13</v>
      </c>
      <c r="BH13" s="16">
        <f>G13*AO13</f>
        <v>0</v>
      </c>
      <c r="BI13" s="16">
        <f>G13*AP13</f>
        <v>0</v>
      </c>
      <c r="BJ13" s="16">
        <f>G13*H13</f>
        <v>0</v>
      </c>
    </row>
    <row r="14" spans="1:62" x14ac:dyDescent="0.2">
      <c r="A14" s="4" t="s">
        <v>8</v>
      </c>
      <c r="B14" s="4" t="s">
        <v>87</v>
      </c>
      <c r="C14" s="103" t="s">
        <v>172</v>
      </c>
      <c r="D14" s="104"/>
      <c r="E14" s="104"/>
      <c r="F14" s="4" t="s">
        <v>263</v>
      </c>
      <c r="G14" s="68">
        <v>71.680999999999997</v>
      </c>
      <c r="H14" s="16">
        <v>0</v>
      </c>
      <c r="I14" s="16">
        <f>G14*AO14</f>
        <v>0</v>
      </c>
      <c r="J14" s="16">
        <f>G14*AP14</f>
        <v>0</v>
      </c>
      <c r="K14" s="16">
        <f>G14*H14</f>
        <v>0</v>
      </c>
      <c r="L14" s="27" t="s">
        <v>284</v>
      </c>
      <c r="Z14" s="33">
        <f>IF(AQ14="5",BJ14,0)</f>
        <v>0</v>
      </c>
      <c r="AB14" s="33">
        <f>IF(AQ14="1",BH14,0)</f>
        <v>0</v>
      </c>
      <c r="AC14" s="33">
        <f>IF(AQ14="1",BI14,0)</f>
        <v>0</v>
      </c>
      <c r="AD14" s="33">
        <f>IF(AQ14="7",BH14,0)</f>
        <v>0</v>
      </c>
      <c r="AE14" s="33">
        <f>IF(AQ14="7",BI14,0)</f>
        <v>0</v>
      </c>
      <c r="AF14" s="33">
        <f>IF(AQ14="2",BH14,0)</f>
        <v>0</v>
      </c>
      <c r="AG14" s="33">
        <f>IF(AQ14="2",BI14,0)</f>
        <v>0</v>
      </c>
      <c r="AH14" s="33">
        <f>IF(AQ14="0",BJ14,0)</f>
        <v>0</v>
      </c>
      <c r="AI14" s="28"/>
      <c r="AJ14" s="16">
        <f>IF(AN14=0,K14,0)</f>
        <v>0</v>
      </c>
      <c r="AK14" s="16">
        <f>IF(AN14=15,K14,0)</f>
        <v>0</v>
      </c>
      <c r="AL14" s="16">
        <f>IF(AN14=21,K14,0)</f>
        <v>0</v>
      </c>
      <c r="AN14" s="33">
        <v>21</v>
      </c>
      <c r="AO14" s="33">
        <f>H14*0</f>
        <v>0</v>
      </c>
      <c r="AP14" s="33">
        <f>H14*(1-0)</f>
        <v>0</v>
      </c>
      <c r="AQ14" s="27" t="s">
        <v>7</v>
      </c>
      <c r="AV14" s="33">
        <f>AW14+AX14</f>
        <v>0</v>
      </c>
      <c r="AW14" s="33">
        <f>G14*AO14</f>
        <v>0</v>
      </c>
      <c r="AX14" s="33">
        <f>G14*AP14</f>
        <v>0</v>
      </c>
      <c r="AY14" s="34" t="s">
        <v>294</v>
      </c>
      <c r="AZ14" s="34" t="s">
        <v>307</v>
      </c>
      <c r="BA14" s="28" t="s">
        <v>312</v>
      </c>
      <c r="BC14" s="33">
        <f>AW14+AX14</f>
        <v>0</v>
      </c>
      <c r="BD14" s="33">
        <f>H14/(100-BE14)*100</f>
        <v>0</v>
      </c>
      <c r="BE14" s="33">
        <v>0</v>
      </c>
      <c r="BF14" s="33">
        <f>14</f>
        <v>14</v>
      </c>
      <c r="BH14" s="16">
        <f>G14*AO14</f>
        <v>0</v>
      </c>
      <c r="BI14" s="16">
        <f>G14*AP14</f>
        <v>0</v>
      </c>
      <c r="BJ14" s="16">
        <f>G14*H14</f>
        <v>0</v>
      </c>
    </row>
    <row r="15" spans="1:62" x14ac:dyDescent="0.2">
      <c r="A15" s="4" t="s">
        <v>9</v>
      </c>
      <c r="B15" s="4" t="s">
        <v>88</v>
      </c>
      <c r="C15" s="103" t="s">
        <v>173</v>
      </c>
      <c r="D15" s="104"/>
      <c r="E15" s="104"/>
      <c r="F15" s="4" t="s">
        <v>264</v>
      </c>
      <c r="G15" s="68">
        <v>5.39</v>
      </c>
      <c r="H15" s="16">
        <v>0</v>
      </c>
      <c r="I15" s="16">
        <f>G15*AO15</f>
        <v>0</v>
      </c>
      <c r="J15" s="16">
        <f>G15*AP15</f>
        <v>0</v>
      </c>
      <c r="K15" s="16">
        <f>G15*H15</f>
        <v>0</v>
      </c>
      <c r="L15" s="27" t="s">
        <v>284</v>
      </c>
      <c r="Z15" s="33">
        <f>IF(AQ15="5",BJ15,0)</f>
        <v>0</v>
      </c>
      <c r="AB15" s="33">
        <f>IF(AQ15="1",BH15,0)</f>
        <v>0</v>
      </c>
      <c r="AC15" s="33">
        <f>IF(AQ15="1",BI15,0)</f>
        <v>0</v>
      </c>
      <c r="AD15" s="33">
        <f>IF(AQ15="7",BH15,0)</f>
        <v>0</v>
      </c>
      <c r="AE15" s="33">
        <f>IF(AQ15="7",BI15,0)</f>
        <v>0</v>
      </c>
      <c r="AF15" s="33">
        <f>IF(AQ15="2",BH15,0)</f>
        <v>0</v>
      </c>
      <c r="AG15" s="33">
        <f>IF(AQ15="2",BI15,0)</f>
        <v>0</v>
      </c>
      <c r="AH15" s="33">
        <f>IF(AQ15="0",BJ15,0)</f>
        <v>0</v>
      </c>
      <c r="AI15" s="28"/>
      <c r="AJ15" s="16">
        <f>IF(AN15=0,K15,0)</f>
        <v>0</v>
      </c>
      <c r="AK15" s="16">
        <f>IF(AN15=15,K15,0)</f>
        <v>0</v>
      </c>
      <c r="AL15" s="16">
        <f>IF(AN15=21,K15,0)</f>
        <v>0</v>
      </c>
      <c r="AN15" s="33">
        <v>21</v>
      </c>
      <c r="AO15" s="33">
        <f>H15*0.290787671232877</f>
        <v>0</v>
      </c>
      <c r="AP15" s="33">
        <f>H15*(1-0.290787671232877)</f>
        <v>0</v>
      </c>
      <c r="AQ15" s="27" t="s">
        <v>7</v>
      </c>
      <c r="AV15" s="33">
        <f>AW15+AX15</f>
        <v>0</v>
      </c>
      <c r="AW15" s="33">
        <f>G15*AO15</f>
        <v>0</v>
      </c>
      <c r="AX15" s="33">
        <f>G15*AP15</f>
        <v>0</v>
      </c>
      <c r="AY15" s="34" t="s">
        <v>294</v>
      </c>
      <c r="AZ15" s="34" t="s">
        <v>307</v>
      </c>
      <c r="BA15" s="28" t="s">
        <v>312</v>
      </c>
      <c r="BC15" s="33">
        <f>AW15+AX15</f>
        <v>0</v>
      </c>
      <c r="BD15" s="33">
        <f>H15/(100-BE15)*100</f>
        <v>0</v>
      </c>
      <c r="BE15" s="33">
        <v>0</v>
      </c>
      <c r="BF15" s="33">
        <f>15</f>
        <v>15</v>
      </c>
      <c r="BH15" s="16">
        <f>G15*AO15</f>
        <v>0</v>
      </c>
      <c r="BI15" s="16">
        <f>G15*AP15</f>
        <v>0</v>
      </c>
      <c r="BJ15" s="16">
        <f>G15*H15</f>
        <v>0</v>
      </c>
    </row>
    <row r="16" spans="1:62" x14ac:dyDescent="0.2">
      <c r="A16" s="5"/>
      <c r="B16" s="13" t="s">
        <v>19</v>
      </c>
      <c r="C16" s="105" t="s">
        <v>174</v>
      </c>
      <c r="D16" s="106"/>
      <c r="E16" s="106"/>
      <c r="F16" s="5" t="s">
        <v>6</v>
      </c>
      <c r="G16" s="5" t="s">
        <v>6</v>
      </c>
      <c r="H16" s="5" t="s">
        <v>6</v>
      </c>
      <c r="I16" s="36">
        <f>SUM(I17:I21)</f>
        <v>0</v>
      </c>
      <c r="J16" s="36">
        <f>SUM(J17:J21)</f>
        <v>0</v>
      </c>
      <c r="K16" s="36">
        <f>SUM(K17:K21)</f>
        <v>0</v>
      </c>
      <c r="L16" s="28"/>
      <c r="AI16" s="28"/>
      <c r="AS16" s="36">
        <f>SUM(AJ17:AJ21)</f>
        <v>0</v>
      </c>
      <c r="AT16" s="36">
        <f>SUM(AK17:AK21)</f>
        <v>0</v>
      </c>
      <c r="AU16" s="36">
        <f>SUM(AL17:AL21)</f>
        <v>0</v>
      </c>
    </row>
    <row r="17" spans="1:62" x14ac:dyDescent="0.2">
      <c r="A17" s="4" t="s">
        <v>10</v>
      </c>
      <c r="B17" s="4" t="s">
        <v>89</v>
      </c>
      <c r="C17" s="103" t="s">
        <v>175</v>
      </c>
      <c r="D17" s="104"/>
      <c r="E17" s="104"/>
      <c r="F17" s="4" t="s">
        <v>265</v>
      </c>
      <c r="G17" s="68">
        <v>52.021000000000001</v>
      </c>
      <c r="H17" s="16">
        <v>0</v>
      </c>
      <c r="I17" s="16">
        <f>G17*AO17</f>
        <v>0</v>
      </c>
      <c r="J17" s="16">
        <f>G17*AP17</f>
        <v>0</v>
      </c>
      <c r="K17" s="16">
        <f>G17*H17</f>
        <v>0</v>
      </c>
      <c r="L17" s="27" t="s">
        <v>284</v>
      </c>
      <c r="Z17" s="33">
        <f>IF(AQ17="5",BJ17,0)</f>
        <v>0</v>
      </c>
      <c r="AB17" s="33">
        <f>IF(AQ17="1",BH17,0)</f>
        <v>0</v>
      </c>
      <c r="AC17" s="33">
        <f>IF(AQ17="1",BI17,0)</f>
        <v>0</v>
      </c>
      <c r="AD17" s="33">
        <f>IF(AQ17="7",BH17,0)</f>
        <v>0</v>
      </c>
      <c r="AE17" s="33">
        <f>IF(AQ17="7",BI17,0)</f>
        <v>0</v>
      </c>
      <c r="AF17" s="33">
        <f>IF(AQ17="2",BH17,0)</f>
        <v>0</v>
      </c>
      <c r="AG17" s="33">
        <f>IF(AQ17="2",BI17,0)</f>
        <v>0</v>
      </c>
      <c r="AH17" s="33">
        <f>IF(AQ17="0",BJ17,0)</f>
        <v>0</v>
      </c>
      <c r="AI17" s="28"/>
      <c r="AJ17" s="16">
        <f>IF(AN17=0,K17,0)</f>
        <v>0</v>
      </c>
      <c r="AK17" s="16">
        <f>IF(AN17=15,K17,0)</f>
        <v>0</v>
      </c>
      <c r="AL17" s="16">
        <f>IF(AN17=21,K17,0)</f>
        <v>0</v>
      </c>
      <c r="AN17" s="33">
        <v>21</v>
      </c>
      <c r="AO17" s="33">
        <f>H17*0</f>
        <v>0</v>
      </c>
      <c r="AP17" s="33">
        <f>H17*(1-0)</f>
        <v>0</v>
      </c>
      <c r="AQ17" s="27" t="s">
        <v>7</v>
      </c>
      <c r="AV17" s="33">
        <f>AW17+AX17</f>
        <v>0</v>
      </c>
      <c r="AW17" s="33">
        <f>G17*AO17</f>
        <v>0</v>
      </c>
      <c r="AX17" s="33">
        <f>G17*AP17</f>
        <v>0</v>
      </c>
      <c r="AY17" s="34" t="s">
        <v>295</v>
      </c>
      <c r="AZ17" s="34" t="s">
        <v>307</v>
      </c>
      <c r="BA17" s="28" t="s">
        <v>312</v>
      </c>
      <c r="BC17" s="33">
        <f>AW17+AX17</f>
        <v>0</v>
      </c>
      <c r="BD17" s="33">
        <f>H17/(100-BE17)*100</f>
        <v>0</v>
      </c>
      <c r="BE17" s="33">
        <v>0</v>
      </c>
      <c r="BF17" s="33">
        <f>17</f>
        <v>17</v>
      </c>
      <c r="BH17" s="16">
        <f>G17*AO17</f>
        <v>0</v>
      </c>
      <c r="BI17" s="16">
        <f>G17*AP17</f>
        <v>0</v>
      </c>
      <c r="BJ17" s="16">
        <f>G17*H17</f>
        <v>0</v>
      </c>
    </row>
    <row r="18" spans="1:62" x14ac:dyDescent="0.2">
      <c r="A18" s="4" t="s">
        <v>11</v>
      </c>
      <c r="B18" s="4" t="s">
        <v>90</v>
      </c>
      <c r="C18" s="103" t="s">
        <v>176</v>
      </c>
      <c r="D18" s="104"/>
      <c r="E18" s="104"/>
      <c r="F18" s="4" t="s">
        <v>265</v>
      </c>
      <c r="G18" s="68">
        <v>52.021000000000001</v>
      </c>
      <c r="H18" s="16">
        <v>0</v>
      </c>
      <c r="I18" s="16">
        <f>G18*AO18</f>
        <v>0</v>
      </c>
      <c r="J18" s="16">
        <f>G18*AP18</f>
        <v>0</v>
      </c>
      <c r="K18" s="16">
        <f>G18*H18</f>
        <v>0</v>
      </c>
      <c r="L18" s="27" t="s">
        <v>284</v>
      </c>
      <c r="Z18" s="33">
        <f>IF(AQ18="5",BJ18,0)</f>
        <v>0</v>
      </c>
      <c r="AB18" s="33">
        <f>IF(AQ18="1",BH18,0)</f>
        <v>0</v>
      </c>
      <c r="AC18" s="33">
        <f>IF(AQ18="1",BI18,0)</f>
        <v>0</v>
      </c>
      <c r="AD18" s="33">
        <f>IF(AQ18="7",BH18,0)</f>
        <v>0</v>
      </c>
      <c r="AE18" s="33">
        <f>IF(AQ18="7",BI18,0)</f>
        <v>0</v>
      </c>
      <c r="AF18" s="33">
        <f>IF(AQ18="2",BH18,0)</f>
        <v>0</v>
      </c>
      <c r="AG18" s="33">
        <f>IF(AQ18="2",BI18,0)</f>
        <v>0</v>
      </c>
      <c r="AH18" s="33">
        <f>IF(AQ18="0",BJ18,0)</f>
        <v>0</v>
      </c>
      <c r="AI18" s="28"/>
      <c r="AJ18" s="16">
        <f>IF(AN18=0,K18,0)</f>
        <v>0</v>
      </c>
      <c r="AK18" s="16">
        <f>IF(AN18=15,K18,0)</f>
        <v>0</v>
      </c>
      <c r="AL18" s="16">
        <f>IF(AN18=21,K18,0)</f>
        <v>0</v>
      </c>
      <c r="AN18" s="33">
        <v>21</v>
      </c>
      <c r="AO18" s="33">
        <f>H18*0</f>
        <v>0</v>
      </c>
      <c r="AP18" s="33">
        <f>H18*(1-0)</f>
        <v>0</v>
      </c>
      <c r="AQ18" s="27" t="s">
        <v>7</v>
      </c>
      <c r="AV18" s="33">
        <f>AW18+AX18</f>
        <v>0</v>
      </c>
      <c r="AW18" s="33">
        <f>G18*AO18</f>
        <v>0</v>
      </c>
      <c r="AX18" s="33">
        <f>G18*AP18</f>
        <v>0</v>
      </c>
      <c r="AY18" s="34" t="s">
        <v>295</v>
      </c>
      <c r="AZ18" s="34" t="s">
        <v>307</v>
      </c>
      <c r="BA18" s="28" t="s">
        <v>312</v>
      </c>
      <c r="BC18" s="33">
        <f>AW18+AX18</f>
        <v>0</v>
      </c>
      <c r="BD18" s="33">
        <f>H18/(100-BE18)*100</f>
        <v>0</v>
      </c>
      <c r="BE18" s="33">
        <v>0</v>
      </c>
      <c r="BF18" s="33">
        <f>18</f>
        <v>18</v>
      </c>
      <c r="BH18" s="16">
        <f>G18*AO18</f>
        <v>0</v>
      </c>
      <c r="BI18" s="16">
        <f>G18*AP18</f>
        <v>0</v>
      </c>
      <c r="BJ18" s="16">
        <f>G18*H18</f>
        <v>0</v>
      </c>
    </row>
    <row r="19" spans="1:62" x14ac:dyDescent="0.2">
      <c r="A19" s="4" t="s">
        <v>12</v>
      </c>
      <c r="B19" s="4" t="s">
        <v>91</v>
      </c>
      <c r="C19" s="103" t="s">
        <v>177</v>
      </c>
      <c r="D19" s="104"/>
      <c r="E19" s="104"/>
      <c r="F19" s="4" t="s">
        <v>265</v>
      </c>
      <c r="G19" s="68">
        <v>5.5279999999999996</v>
      </c>
      <c r="H19" s="16">
        <v>0</v>
      </c>
      <c r="I19" s="16">
        <f>G19*AO19</f>
        <v>0</v>
      </c>
      <c r="J19" s="16">
        <f>G19*AP19</f>
        <v>0</v>
      </c>
      <c r="K19" s="16">
        <f>G19*H19</f>
        <v>0</v>
      </c>
      <c r="L19" s="27" t="s">
        <v>284</v>
      </c>
      <c r="Z19" s="33">
        <f>IF(AQ19="5",BJ19,0)</f>
        <v>0</v>
      </c>
      <c r="AB19" s="33">
        <f>IF(AQ19="1",BH19,0)</f>
        <v>0</v>
      </c>
      <c r="AC19" s="33">
        <f>IF(AQ19="1",BI19,0)</f>
        <v>0</v>
      </c>
      <c r="AD19" s="33">
        <f>IF(AQ19="7",BH19,0)</f>
        <v>0</v>
      </c>
      <c r="AE19" s="33">
        <f>IF(AQ19="7",BI19,0)</f>
        <v>0</v>
      </c>
      <c r="AF19" s="33">
        <f>IF(AQ19="2",BH19,0)</f>
        <v>0</v>
      </c>
      <c r="AG19" s="33">
        <f>IF(AQ19="2",BI19,0)</f>
        <v>0</v>
      </c>
      <c r="AH19" s="33">
        <f>IF(AQ19="0",BJ19,0)</f>
        <v>0</v>
      </c>
      <c r="AI19" s="28"/>
      <c r="AJ19" s="16">
        <f>IF(AN19=0,K19,0)</f>
        <v>0</v>
      </c>
      <c r="AK19" s="16">
        <f>IF(AN19=15,K19,0)</f>
        <v>0</v>
      </c>
      <c r="AL19" s="16">
        <f>IF(AN19=21,K19,0)</f>
        <v>0</v>
      </c>
      <c r="AN19" s="33">
        <v>21</v>
      </c>
      <c r="AO19" s="33">
        <f>H19*0</f>
        <v>0</v>
      </c>
      <c r="AP19" s="33">
        <f>H19*(1-0)</f>
        <v>0</v>
      </c>
      <c r="AQ19" s="27" t="s">
        <v>7</v>
      </c>
      <c r="AV19" s="33">
        <f>AW19+AX19</f>
        <v>0</v>
      </c>
      <c r="AW19" s="33">
        <f>G19*AO19</f>
        <v>0</v>
      </c>
      <c r="AX19" s="33">
        <f>G19*AP19</f>
        <v>0</v>
      </c>
      <c r="AY19" s="34" t="s">
        <v>295</v>
      </c>
      <c r="AZ19" s="34" t="s">
        <v>307</v>
      </c>
      <c r="BA19" s="28" t="s">
        <v>312</v>
      </c>
      <c r="BC19" s="33">
        <f>AW19+AX19</f>
        <v>0</v>
      </c>
      <c r="BD19" s="33">
        <f>H19/(100-BE19)*100</f>
        <v>0</v>
      </c>
      <c r="BE19" s="33">
        <v>0</v>
      </c>
      <c r="BF19" s="33">
        <f>19</f>
        <v>19</v>
      </c>
      <c r="BH19" s="16">
        <f>G19*AO19</f>
        <v>0</v>
      </c>
      <c r="BI19" s="16">
        <f>G19*AP19</f>
        <v>0</v>
      </c>
      <c r="BJ19" s="16">
        <f>G19*H19</f>
        <v>0</v>
      </c>
    </row>
    <row r="20" spans="1:62" x14ac:dyDescent="0.2">
      <c r="A20" s="4" t="s">
        <v>13</v>
      </c>
      <c r="B20" s="4" t="s">
        <v>92</v>
      </c>
      <c r="C20" s="103" t="s">
        <v>178</v>
      </c>
      <c r="D20" s="104"/>
      <c r="E20" s="104"/>
      <c r="F20" s="4" t="s">
        <v>265</v>
      </c>
      <c r="G20" s="68">
        <v>60.975000000000001</v>
      </c>
      <c r="H20" s="16">
        <v>0</v>
      </c>
      <c r="I20" s="16">
        <f>G20*AO20</f>
        <v>0</v>
      </c>
      <c r="J20" s="16">
        <f>G20*AP20</f>
        <v>0</v>
      </c>
      <c r="K20" s="16">
        <f>G20*H20</f>
        <v>0</v>
      </c>
      <c r="L20" s="27" t="s">
        <v>284</v>
      </c>
      <c r="Z20" s="33">
        <f>IF(AQ20="5",BJ20,0)</f>
        <v>0</v>
      </c>
      <c r="AB20" s="33">
        <f>IF(AQ20="1",BH20,0)</f>
        <v>0</v>
      </c>
      <c r="AC20" s="33">
        <f>IF(AQ20="1",BI20,0)</f>
        <v>0</v>
      </c>
      <c r="AD20" s="33">
        <f>IF(AQ20="7",BH20,0)</f>
        <v>0</v>
      </c>
      <c r="AE20" s="33">
        <f>IF(AQ20="7",BI20,0)</f>
        <v>0</v>
      </c>
      <c r="AF20" s="33">
        <f>IF(AQ20="2",BH20,0)</f>
        <v>0</v>
      </c>
      <c r="AG20" s="33">
        <f>IF(AQ20="2",BI20,0)</f>
        <v>0</v>
      </c>
      <c r="AH20" s="33">
        <f>IF(AQ20="0",BJ20,0)</f>
        <v>0</v>
      </c>
      <c r="AI20" s="28"/>
      <c r="AJ20" s="16">
        <f>IF(AN20=0,K20,0)</f>
        <v>0</v>
      </c>
      <c r="AK20" s="16">
        <f>IF(AN20=15,K20,0)</f>
        <v>0</v>
      </c>
      <c r="AL20" s="16">
        <f>IF(AN20=21,K20,0)</f>
        <v>0</v>
      </c>
      <c r="AN20" s="33">
        <v>21</v>
      </c>
      <c r="AO20" s="33">
        <f>H20*0</f>
        <v>0</v>
      </c>
      <c r="AP20" s="33">
        <f>H20*(1-0)</f>
        <v>0</v>
      </c>
      <c r="AQ20" s="27" t="s">
        <v>7</v>
      </c>
      <c r="AV20" s="33">
        <f>AW20+AX20</f>
        <v>0</v>
      </c>
      <c r="AW20" s="33">
        <f>G20*AO20</f>
        <v>0</v>
      </c>
      <c r="AX20" s="33">
        <f>G20*AP20</f>
        <v>0</v>
      </c>
      <c r="AY20" s="34" t="s">
        <v>295</v>
      </c>
      <c r="AZ20" s="34" t="s">
        <v>307</v>
      </c>
      <c r="BA20" s="28" t="s">
        <v>312</v>
      </c>
      <c r="BC20" s="33">
        <f>AW20+AX20</f>
        <v>0</v>
      </c>
      <c r="BD20" s="33">
        <f>H20/(100-BE20)*100</f>
        <v>0</v>
      </c>
      <c r="BE20" s="33">
        <v>0</v>
      </c>
      <c r="BF20" s="33">
        <f>20</f>
        <v>20</v>
      </c>
      <c r="BH20" s="16">
        <f>G20*AO20</f>
        <v>0</v>
      </c>
      <c r="BI20" s="16">
        <f>G20*AP20</f>
        <v>0</v>
      </c>
      <c r="BJ20" s="16">
        <f>G20*H20</f>
        <v>0</v>
      </c>
    </row>
    <row r="21" spans="1:62" x14ac:dyDescent="0.2">
      <c r="A21" s="4" t="s">
        <v>14</v>
      </c>
      <c r="B21" s="4" t="s">
        <v>93</v>
      </c>
      <c r="C21" s="103" t="s">
        <v>179</v>
      </c>
      <c r="D21" s="104"/>
      <c r="E21" s="104"/>
      <c r="F21" s="4" t="s">
        <v>265</v>
      </c>
      <c r="G21" s="68">
        <v>60.975000000000001</v>
      </c>
      <c r="H21" s="16">
        <v>0</v>
      </c>
      <c r="I21" s="16">
        <f>G21*AO21</f>
        <v>0</v>
      </c>
      <c r="J21" s="16">
        <f>G21*AP21</f>
        <v>0</v>
      </c>
      <c r="K21" s="16">
        <f>G21*H21</f>
        <v>0</v>
      </c>
      <c r="L21" s="27" t="s">
        <v>284</v>
      </c>
      <c r="Z21" s="33">
        <f>IF(AQ21="5",BJ21,0)</f>
        <v>0</v>
      </c>
      <c r="AB21" s="33">
        <f>IF(AQ21="1",BH21,0)</f>
        <v>0</v>
      </c>
      <c r="AC21" s="33">
        <f>IF(AQ21="1",BI21,0)</f>
        <v>0</v>
      </c>
      <c r="AD21" s="33">
        <f>IF(AQ21="7",BH21,0)</f>
        <v>0</v>
      </c>
      <c r="AE21" s="33">
        <f>IF(AQ21="7",BI21,0)</f>
        <v>0</v>
      </c>
      <c r="AF21" s="33">
        <f>IF(AQ21="2",BH21,0)</f>
        <v>0</v>
      </c>
      <c r="AG21" s="33">
        <f>IF(AQ21="2",BI21,0)</f>
        <v>0</v>
      </c>
      <c r="AH21" s="33">
        <f>IF(AQ21="0",BJ21,0)</f>
        <v>0</v>
      </c>
      <c r="AI21" s="28"/>
      <c r="AJ21" s="16">
        <f>IF(AN21=0,K21,0)</f>
        <v>0</v>
      </c>
      <c r="AK21" s="16">
        <f>IF(AN21=15,K21,0)</f>
        <v>0</v>
      </c>
      <c r="AL21" s="16">
        <f>IF(AN21=21,K21,0)</f>
        <v>0</v>
      </c>
      <c r="AN21" s="33">
        <v>21</v>
      </c>
      <c r="AO21" s="33">
        <f>H21*0</f>
        <v>0</v>
      </c>
      <c r="AP21" s="33">
        <f>H21*(1-0)</f>
        <v>0</v>
      </c>
      <c r="AQ21" s="27" t="s">
        <v>7</v>
      </c>
      <c r="AV21" s="33">
        <f>AW21+AX21</f>
        <v>0</v>
      </c>
      <c r="AW21" s="33">
        <f>G21*AO21</f>
        <v>0</v>
      </c>
      <c r="AX21" s="33">
        <f>G21*AP21</f>
        <v>0</v>
      </c>
      <c r="AY21" s="34" t="s">
        <v>295</v>
      </c>
      <c r="AZ21" s="34" t="s">
        <v>307</v>
      </c>
      <c r="BA21" s="28" t="s">
        <v>312</v>
      </c>
      <c r="BC21" s="33">
        <f>AW21+AX21</f>
        <v>0</v>
      </c>
      <c r="BD21" s="33">
        <f>H21/(100-BE21)*100</f>
        <v>0</v>
      </c>
      <c r="BE21" s="33">
        <v>0</v>
      </c>
      <c r="BF21" s="33">
        <f>21</f>
        <v>21</v>
      </c>
      <c r="BH21" s="16">
        <f>G21*AO21</f>
        <v>0</v>
      </c>
      <c r="BI21" s="16">
        <f>G21*AP21</f>
        <v>0</v>
      </c>
      <c r="BJ21" s="16">
        <f>G21*H21</f>
        <v>0</v>
      </c>
    </row>
    <row r="22" spans="1:62" x14ac:dyDescent="0.2">
      <c r="A22" s="5"/>
      <c r="B22" s="13" t="s">
        <v>21</v>
      </c>
      <c r="C22" s="105" t="s">
        <v>180</v>
      </c>
      <c r="D22" s="106"/>
      <c r="E22" s="106"/>
      <c r="F22" s="5" t="s">
        <v>6</v>
      </c>
      <c r="G22" s="5" t="s">
        <v>6</v>
      </c>
      <c r="H22" s="5" t="s">
        <v>6</v>
      </c>
      <c r="I22" s="36">
        <f>SUM(I23:I24)</f>
        <v>0</v>
      </c>
      <c r="J22" s="36">
        <f>SUM(J23:J24)</f>
        <v>0</v>
      </c>
      <c r="K22" s="36">
        <f>SUM(K23:K24)</f>
        <v>0</v>
      </c>
      <c r="L22" s="28"/>
      <c r="AI22" s="28"/>
      <c r="AS22" s="36">
        <f>SUM(AJ23:AJ24)</f>
        <v>0</v>
      </c>
      <c r="AT22" s="36">
        <f>SUM(AK23:AK24)</f>
        <v>0</v>
      </c>
      <c r="AU22" s="36">
        <f>SUM(AL23:AL24)</f>
        <v>0</v>
      </c>
    </row>
    <row r="23" spans="1:62" x14ac:dyDescent="0.2">
      <c r="A23" s="4" t="s">
        <v>15</v>
      </c>
      <c r="B23" s="4" t="s">
        <v>94</v>
      </c>
      <c r="C23" s="103" t="s">
        <v>181</v>
      </c>
      <c r="D23" s="104"/>
      <c r="E23" s="104"/>
      <c r="F23" s="4" t="s">
        <v>263</v>
      </c>
      <c r="G23" s="68">
        <v>191.35499999999999</v>
      </c>
      <c r="H23" s="16">
        <v>0</v>
      </c>
      <c r="I23" s="16">
        <f>G23*AO23</f>
        <v>0</v>
      </c>
      <c r="J23" s="16">
        <f>G23*AP23</f>
        <v>0</v>
      </c>
      <c r="K23" s="16">
        <f>G23*H23</f>
        <v>0</v>
      </c>
      <c r="L23" s="27" t="s">
        <v>284</v>
      </c>
      <c r="Z23" s="33">
        <f>IF(AQ23="5",BJ23,0)</f>
        <v>0</v>
      </c>
      <c r="AB23" s="33">
        <f>IF(AQ23="1",BH23,0)</f>
        <v>0</v>
      </c>
      <c r="AC23" s="33">
        <f>IF(AQ23="1",BI23,0)</f>
        <v>0</v>
      </c>
      <c r="AD23" s="33">
        <f>IF(AQ23="7",BH23,0)</f>
        <v>0</v>
      </c>
      <c r="AE23" s="33">
        <f>IF(AQ23="7",BI23,0)</f>
        <v>0</v>
      </c>
      <c r="AF23" s="33">
        <f>IF(AQ23="2",BH23,0)</f>
        <v>0</v>
      </c>
      <c r="AG23" s="33">
        <f>IF(AQ23="2",BI23,0)</f>
        <v>0</v>
      </c>
      <c r="AH23" s="33">
        <f>IF(AQ23="0",BJ23,0)</f>
        <v>0</v>
      </c>
      <c r="AI23" s="28"/>
      <c r="AJ23" s="16">
        <f>IF(AN23=0,K23,0)</f>
        <v>0</v>
      </c>
      <c r="AK23" s="16">
        <f>IF(AN23=15,K23,0)</f>
        <v>0</v>
      </c>
      <c r="AL23" s="16">
        <f>IF(AN23=21,K23,0)</f>
        <v>0</v>
      </c>
      <c r="AN23" s="33">
        <v>21</v>
      </c>
      <c r="AO23" s="33">
        <f>H23*0.0901266993820883</f>
        <v>0</v>
      </c>
      <c r="AP23" s="33">
        <f>H23*(1-0.0901266993820883)</f>
        <v>0</v>
      </c>
      <c r="AQ23" s="27" t="s">
        <v>7</v>
      </c>
      <c r="AV23" s="33">
        <f>AW23+AX23</f>
        <v>0</v>
      </c>
      <c r="AW23" s="33">
        <f>G23*AO23</f>
        <v>0</v>
      </c>
      <c r="AX23" s="33">
        <f>G23*AP23</f>
        <v>0</v>
      </c>
      <c r="AY23" s="34" t="s">
        <v>296</v>
      </c>
      <c r="AZ23" s="34" t="s">
        <v>307</v>
      </c>
      <c r="BA23" s="28" t="s">
        <v>312</v>
      </c>
      <c r="BC23" s="33">
        <f>AW23+AX23</f>
        <v>0</v>
      </c>
      <c r="BD23" s="33">
        <f>H23/(100-BE23)*100</f>
        <v>0</v>
      </c>
      <c r="BE23" s="33">
        <v>0</v>
      </c>
      <c r="BF23" s="33">
        <f>23</f>
        <v>23</v>
      </c>
      <c r="BH23" s="16">
        <f>G23*AO23</f>
        <v>0</v>
      </c>
      <c r="BI23" s="16">
        <f>G23*AP23</f>
        <v>0</v>
      </c>
      <c r="BJ23" s="16">
        <f>G23*H23</f>
        <v>0</v>
      </c>
    </row>
    <row r="24" spans="1:62" x14ac:dyDescent="0.2">
      <c r="A24" s="4" t="s">
        <v>16</v>
      </c>
      <c r="B24" s="4" t="s">
        <v>95</v>
      </c>
      <c r="C24" s="103" t="s">
        <v>182</v>
      </c>
      <c r="D24" s="104"/>
      <c r="E24" s="104"/>
      <c r="F24" s="4" t="s">
        <v>263</v>
      </c>
      <c r="G24" s="68">
        <v>191.35499999999999</v>
      </c>
      <c r="H24" s="16">
        <v>0</v>
      </c>
      <c r="I24" s="16">
        <f>G24*AO24</f>
        <v>0</v>
      </c>
      <c r="J24" s="16">
        <f>G24*AP24</f>
        <v>0</v>
      </c>
      <c r="K24" s="16">
        <f>G24*H24</f>
        <v>0</v>
      </c>
      <c r="L24" s="27" t="s">
        <v>284</v>
      </c>
      <c r="Z24" s="33">
        <f>IF(AQ24="5",BJ24,0)</f>
        <v>0</v>
      </c>
      <c r="AB24" s="33">
        <f>IF(AQ24="1",BH24,0)</f>
        <v>0</v>
      </c>
      <c r="AC24" s="33">
        <f>IF(AQ24="1",BI24,0)</f>
        <v>0</v>
      </c>
      <c r="AD24" s="33">
        <f>IF(AQ24="7",BH24,0)</f>
        <v>0</v>
      </c>
      <c r="AE24" s="33">
        <f>IF(AQ24="7",BI24,0)</f>
        <v>0</v>
      </c>
      <c r="AF24" s="33">
        <f>IF(AQ24="2",BH24,0)</f>
        <v>0</v>
      </c>
      <c r="AG24" s="33">
        <f>IF(AQ24="2",BI24,0)</f>
        <v>0</v>
      </c>
      <c r="AH24" s="33">
        <f>IF(AQ24="0",BJ24,0)</f>
        <v>0</v>
      </c>
      <c r="AI24" s="28"/>
      <c r="AJ24" s="16">
        <f>IF(AN24=0,K24,0)</f>
        <v>0</v>
      </c>
      <c r="AK24" s="16">
        <f>IF(AN24=15,K24,0)</f>
        <v>0</v>
      </c>
      <c r="AL24" s="16">
        <f>IF(AN24=21,K24,0)</f>
        <v>0</v>
      </c>
      <c r="AN24" s="33">
        <v>21</v>
      </c>
      <c r="AO24" s="33">
        <f>H24*0</f>
        <v>0</v>
      </c>
      <c r="AP24" s="33">
        <f>H24*(1-0)</f>
        <v>0</v>
      </c>
      <c r="AQ24" s="27" t="s">
        <v>7</v>
      </c>
      <c r="AV24" s="33">
        <f>AW24+AX24</f>
        <v>0</v>
      </c>
      <c r="AW24" s="33">
        <f>G24*AO24</f>
        <v>0</v>
      </c>
      <c r="AX24" s="33">
        <f>G24*AP24</f>
        <v>0</v>
      </c>
      <c r="AY24" s="34" t="s">
        <v>296</v>
      </c>
      <c r="AZ24" s="34" t="s">
        <v>307</v>
      </c>
      <c r="BA24" s="28" t="s">
        <v>312</v>
      </c>
      <c r="BC24" s="33">
        <f>AW24+AX24</f>
        <v>0</v>
      </c>
      <c r="BD24" s="33">
        <f>H24/(100-BE24)*100</f>
        <v>0</v>
      </c>
      <c r="BE24" s="33">
        <v>0</v>
      </c>
      <c r="BF24" s="33">
        <f>24</f>
        <v>24</v>
      </c>
      <c r="BH24" s="16">
        <f>G24*AO24</f>
        <v>0</v>
      </c>
      <c r="BI24" s="16">
        <f>G24*AP24</f>
        <v>0</v>
      </c>
      <c r="BJ24" s="16">
        <f>G24*H24</f>
        <v>0</v>
      </c>
    </row>
    <row r="25" spans="1:62" x14ac:dyDescent="0.2">
      <c r="A25" s="5"/>
      <c r="B25" s="13" t="s">
        <v>22</v>
      </c>
      <c r="C25" s="105" t="s">
        <v>183</v>
      </c>
      <c r="D25" s="106"/>
      <c r="E25" s="106"/>
      <c r="F25" s="5" t="s">
        <v>6</v>
      </c>
      <c r="G25" s="5" t="s">
        <v>6</v>
      </c>
      <c r="H25" s="5" t="s">
        <v>6</v>
      </c>
      <c r="I25" s="36">
        <f>SUM(I26:I30)</f>
        <v>0</v>
      </c>
      <c r="J25" s="36">
        <f>SUM(J26:J30)</f>
        <v>0</v>
      </c>
      <c r="K25" s="36">
        <f>SUM(K26:K30)</f>
        <v>0</v>
      </c>
      <c r="L25" s="28"/>
      <c r="AI25" s="28"/>
      <c r="AS25" s="36">
        <f>SUM(AJ26:AJ30)</f>
        <v>0</v>
      </c>
      <c r="AT25" s="36">
        <f>SUM(AK26:AK30)</f>
        <v>0</v>
      </c>
      <c r="AU25" s="36">
        <f>SUM(AL26:AL30)</f>
        <v>0</v>
      </c>
    </row>
    <row r="26" spans="1:62" x14ac:dyDescent="0.2">
      <c r="A26" s="4" t="s">
        <v>17</v>
      </c>
      <c r="B26" s="4" t="s">
        <v>96</v>
      </c>
      <c r="C26" s="103" t="s">
        <v>184</v>
      </c>
      <c r="D26" s="104"/>
      <c r="E26" s="104"/>
      <c r="F26" s="4" t="s">
        <v>265</v>
      </c>
      <c r="G26" s="68">
        <v>112.996</v>
      </c>
      <c r="H26" s="16">
        <v>0</v>
      </c>
      <c r="I26" s="16">
        <f>G26*AO26</f>
        <v>0</v>
      </c>
      <c r="J26" s="16">
        <f>G26*AP26</f>
        <v>0</v>
      </c>
      <c r="K26" s="16">
        <f>G26*H26</f>
        <v>0</v>
      </c>
      <c r="L26" s="27" t="s">
        <v>284</v>
      </c>
      <c r="Z26" s="33">
        <f>IF(AQ26="5",BJ26,0)</f>
        <v>0</v>
      </c>
      <c r="AB26" s="33">
        <f>IF(AQ26="1",BH26,0)</f>
        <v>0</v>
      </c>
      <c r="AC26" s="33">
        <f>IF(AQ26="1",BI26,0)</f>
        <v>0</v>
      </c>
      <c r="AD26" s="33">
        <f>IF(AQ26="7",BH26,0)</f>
        <v>0</v>
      </c>
      <c r="AE26" s="33">
        <f>IF(AQ26="7",BI26,0)</f>
        <v>0</v>
      </c>
      <c r="AF26" s="33">
        <f>IF(AQ26="2",BH26,0)</f>
        <v>0</v>
      </c>
      <c r="AG26" s="33">
        <f>IF(AQ26="2",BI26,0)</f>
        <v>0</v>
      </c>
      <c r="AH26" s="33">
        <f>IF(AQ26="0",BJ26,0)</f>
        <v>0</v>
      </c>
      <c r="AI26" s="28"/>
      <c r="AJ26" s="16">
        <f>IF(AN26=0,K26,0)</f>
        <v>0</v>
      </c>
      <c r="AK26" s="16">
        <f>IF(AN26=15,K26,0)</f>
        <v>0</v>
      </c>
      <c r="AL26" s="16">
        <f>IF(AN26=21,K26,0)</f>
        <v>0</v>
      </c>
      <c r="AN26" s="33">
        <v>21</v>
      </c>
      <c r="AO26" s="33">
        <f>H26*0</f>
        <v>0</v>
      </c>
      <c r="AP26" s="33">
        <f>H26*(1-0)</f>
        <v>0</v>
      </c>
      <c r="AQ26" s="27" t="s">
        <v>7</v>
      </c>
      <c r="AV26" s="33">
        <f>AW26+AX26</f>
        <v>0</v>
      </c>
      <c r="AW26" s="33">
        <f>G26*AO26</f>
        <v>0</v>
      </c>
      <c r="AX26" s="33">
        <f>G26*AP26</f>
        <v>0</v>
      </c>
      <c r="AY26" s="34" t="s">
        <v>297</v>
      </c>
      <c r="AZ26" s="34" t="s">
        <v>307</v>
      </c>
      <c r="BA26" s="28" t="s">
        <v>312</v>
      </c>
      <c r="BC26" s="33">
        <f>AW26+AX26</f>
        <v>0</v>
      </c>
      <c r="BD26" s="33">
        <f>H26/(100-BE26)*100</f>
        <v>0</v>
      </c>
      <c r="BE26" s="33">
        <v>0</v>
      </c>
      <c r="BF26" s="33">
        <f>26</f>
        <v>26</v>
      </c>
      <c r="BH26" s="16">
        <f>G26*AO26</f>
        <v>0</v>
      </c>
      <c r="BI26" s="16">
        <f>G26*AP26</f>
        <v>0</v>
      </c>
      <c r="BJ26" s="16">
        <f>G26*H26</f>
        <v>0</v>
      </c>
    </row>
    <row r="27" spans="1:62" x14ac:dyDescent="0.2">
      <c r="A27" s="4" t="s">
        <v>18</v>
      </c>
      <c r="B27" s="4" t="s">
        <v>97</v>
      </c>
      <c r="C27" s="103" t="s">
        <v>185</v>
      </c>
      <c r="D27" s="104"/>
      <c r="E27" s="104"/>
      <c r="F27" s="4" t="s">
        <v>265</v>
      </c>
      <c r="G27" s="68">
        <v>63.765000000000001</v>
      </c>
      <c r="H27" s="16">
        <v>0</v>
      </c>
      <c r="I27" s="16">
        <f>G27*AO27</f>
        <v>0</v>
      </c>
      <c r="J27" s="16">
        <f>G27*AP27</f>
        <v>0</v>
      </c>
      <c r="K27" s="16">
        <f>G27*H27</f>
        <v>0</v>
      </c>
      <c r="L27" s="27" t="s">
        <v>284</v>
      </c>
      <c r="Z27" s="33">
        <f>IF(AQ27="5",BJ27,0)</f>
        <v>0</v>
      </c>
      <c r="AB27" s="33">
        <f>IF(AQ27="1",BH27,0)</f>
        <v>0</v>
      </c>
      <c r="AC27" s="33">
        <f>IF(AQ27="1",BI27,0)</f>
        <v>0</v>
      </c>
      <c r="AD27" s="33">
        <f>IF(AQ27="7",BH27,0)</f>
        <v>0</v>
      </c>
      <c r="AE27" s="33">
        <f>IF(AQ27="7",BI27,0)</f>
        <v>0</v>
      </c>
      <c r="AF27" s="33">
        <f>IF(AQ27="2",BH27,0)</f>
        <v>0</v>
      </c>
      <c r="AG27" s="33">
        <f>IF(AQ27="2",BI27,0)</f>
        <v>0</v>
      </c>
      <c r="AH27" s="33">
        <f>IF(AQ27="0",BJ27,0)</f>
        <v>0</v>
      </c>
      <c r="AI27" s="28"/>
      <c r="AJ27" s="16">
        <f>IF(AN27=0,K27,0)</f>
        <v>0</v>
      </c>
      <c r="AK27" s="16">
        <f>IF(AN27=15,K27,0)</f>
        <v>0</v>
      </c>
      <c r="AL27" s="16">
        <f>IF(AN27=21,K27,0)</f>
        <v>0</v>
      </c>
      <c r="AN27" s="33">
        <v>21</v>
      </c>
      <c r="AO27" s="33">
        <f>H27*0</f>
        <v>0</v>
      </c>
      <c r="AP27" s="33">
        <f>H27*(1-0)</f>
        <v>0</v>
      </c>
      <c r="AQ27" s="27" t="s">
        <v>7</v>
      </c>
      <c r="AV27" s="33">
        <f>AW27+AX27</f>
        <v>0</v>
      </c>
      <c r="AW27" s="33">
        <f>G27*AO27</f>
        <v>0</v>
      </c>
      <c r="AX27" s="33">
        <f>G27*AP27</f>
        <v>0</v>
      </c>
      <c r="AY27" s="34" t="s">
        <v>297</v>
      </c>
      <c r="AZ27" s="34" t="s">
        <v>307</v>
      </c>
      <c r="BA27" s="28" t="s">
        <v>312</v>
      </c>
      <c r="BC27" s="33">
        <f>AW27+AX27</f>
        <v>0</v>
      </c>
      <c r="BD27" s="33">
        <f>H27/(100-BE27)*100</f>
        <v>0</v>
      </c>
      <c r="BE27" s="33">
        <v>0</v>
      </c>
      <c r="BF27" s="33">
        <f>27</f>
        <v>27</v>
      </c>
      <c r="BH27" s="16">
        <f>G27*AO27</f>
        <v>0</v>
      </c>
      <c r="BI27" s="16">
        <f>G27*AP27</f>
        <v>0</v>
      </c>
      <c r="BJ27" s="16">
        <f>G27*H27</f>
        <v>0</v>
      </c>
    </row>
    <row r="28" spans="1:62" x14ac:dyDescent="0.2">
      <c r="A28" s="4" t="s">
        <v>19</v>
      </c>
      <c r="B28" s="4" t="s">
        <v>98</v>
      </c>
      <c r="C28" s="103" t="s">
        <v>186</v>
      </c>
      <c r="D28" s="104"/>
      <c r="E28" s="104"/>
      <c r="F28" s="4" t="s">
        <v>265</v>
      </c>
      <c r="G28" s="68">
        <v>14.625999999999999</v>
      </c>
      <c r="H28" s="16">
        <v>0</v>
      </c>
      <c r="I28" s="16">
        <f>G28*AO28</f>
        <v>0</v>
      </c>
      <c r="J28" s="16">
        <f>G28*AP28</f>
        <v>0</v>
      </c>
      <c r="K28" s="16">
        <f>G28*H28</f>
        <v>0</v>
      </c>
      <c r="L28" s="27" t="s">
        <v>284</v>
      </c>
      <c r="Z28" s="33">
        <f>IF(AQ28="5",BJ28,0)</f>
        <v>0</v>
      </c>
      <c r="AB28" s="33">
        <f>IF(AQ28="1",BH28,0)</f>
        <v>0</v>
      </c>
      <c r="AC28" s="33">
        <f>IF(AQ28="1",BI28,0)</f>
        <v>0</v>
      </c>
      <c r="AD28" s="33">
        <f>IF(AQ28="7",BH28,0)</f>
        <v>0</v>
      </c>
      <c r="AE28" s="33">
        <f>IF(AQ28="7",BI28,0)</f>
        <v>0</v>
      </c>
      <c r="AF28" s="33">
        <f>IF(AQ28="2",BH28,0)</f>
        <v>0</v>
      </c>
      <c r="AG28" s="33">
        <f>IF(AQ28="2",BI28,0)</f>
        <v>0</v>
      </c>
      <c r="AH28" s="33">
        <f>IF(AQ28="0",BJ28,0)</f>
        <v>0</v>
      </c>
      <c r="AI28" s="28"/>
      <c r="AJ28" s="16">
        <f>IF(AN28=0,K28,0)</f>
        <v>0</v>
      </c>
      <c r="AK28" s="16">
        <f>IF(AN28=15,K28,0)</f>
        <v>0</v>
      </c>
      <c r="AL28" s="16">
        <f>IF(AN28=21,K28,0)</f>
        <v>0</v>
      </c>
      <c r="AN28" s="33">
        <v>21</v>
      </c>
      <c r="AO28" s="33">
        <f>H28*0</f>
        <v>0</v>
      </c>
      <c r="AP28" s="33">
        <f>H28*(1-0)</f>
        <v>0</v>
      </c>
      <c r="AQ28" s="27" t="s">
        <v>7</v>
      </c>
      <c r="AV28" s="33">
        <f>AW28+AX28</f>
        <v>0</v>
      </c>
      <c r="AW28" s="33">
        <f>G28*AO28</f>
        <v>0</v>
      </c>
      <c r="AX28" s="33">
        <f>G28*AP28</f>
        <v>0</v>
      </c>
      <c r="AY28" s="34" t="s">
        <v>297</v>
      </c>
      <c r="AZ28" s="34" t="s">
        <v>307</v>
      </c>
      <c r="BA28" s="28" t="s">
        <v>312</v>
      </c>
      <c r="BC28" s="33">
        <f>AW28+AX28</f>
        <v>0</v>
      </c>
      <c r="BD28" s="33">
        <f>H28/(100-BE28)*100</f>
        <v>0</v>
      </c>
      <c r="BE28" s="33">
        <v>0</v>
      </c>
      <c r="BF28" s="33">
        <f>28</f>
        <v>28</v>
      </c>
      <c r="BH28" s="16">
        <f>G28*AO28</f>
        <v>0</v>
      </c>
      <c r="BI28" s="16">
        <f>G28*AP28</f>
        <v>0</v>
      </c>
      <c r="BJ28" s="16">
        <f>G28*H28</f>
        <v>0</v>
      </c>
    </row>
    <row r="29" spans="1:62" x14ac:dyDescent="0.2">
      <c r="A29" s="4" t="s">
        <v>20</v>
      </c>
      <c r="B29" s="4" t="s">
        <v>99</v>
      </c>
      <c r="C29" s="103" t="s">
        <v>187</v>
      </c>
      <c r="D29" s="104"/>
      <c r="E29" s="104"/>
      <c r="F29" s="4" t="s">
        <v>265</v>
      </c>
      <c r="G29" s="68">
        <v>63.765000000000001</v>
      </c>
      <c r="H29" s="16">
        <v>0</v>
      </c>
      <c r="I29" s="16">
        <f>G29*AO29</f>
        <v>0</v>
      </c>
      <c r="J29" s="16">
        <f>G29*AP29</f>
        <v>0</v>
      </c>
      <c r="K29" s="16">
        <f>G29*H29</f>
        <v>0</v>
      </c>
      <c r="L29" s="27" t="s">
        <v>284</v>
      </c>
      <c r="Z29" s="33">
        <f>IF(AQ29="5",BJ29,0)</f>
        <v>0</v>
      </c>
      <c r="AB29" s="33">
        <f>IF(AQ29="1",BH29,0)</f>
        <v>0</v>
      </c>
      <c r="AC29" s="33">
        <f>IF(AQ29="1",BI29,0)</f>
        <v>0</v>
      </c>
      <c r="AD29" s="33">
        <f>IF(AQ29="7",BH29,0)</f>
        <v>0</v>
      </c>
      <c r="AE29" s="33">
        <f>IF(AQ29="7",BI29,0)</f>
        <v>0</v>
      </c>
      <c r="AF29" s="33">
        <f>IF(AQ29="2",BH29,0)</f>
        <v>0</v>
      </c>
      <c r="AG29" s="33">
        <f>IF(AQ29="2",BI29,0)</f>
        <v>0</v>
      </c>
      <c r="AH29" s="33">
        <f>IF(AQ29="0",BJ29,0)</f>
        <v>0</v>
      </c>
      <c r="AI29" s="28"/>
      <c r="AJ29" s="16">
        <f>IF(AN29=0,K29,0)</f>
        <v>0</v>
      </c>
      <c r="AK29" s="16">
        <f>IF(AN29=15,K29,0)</f>
        <v>0</v>
      </c>
      <c r="AL29" s="16">
        <f>IF(AN29=21,K29,0)</f>
        <v>0</v>
      </c>
      <c r="AN29" s="33">
        <v>21</v>
      </c>
      <c r="AO29" s="33">
        <f>H29*0</f>
        <v>0</v>
      </c>
      <c r="AP29" s="33">
        <f>H29*(1-0)</f>
        <v>0</v>
      </c>
      <c r="AQ29" s="27" t="s">
        <v>7</v>
      </c>
      <c r="AV29" s="33">
        <f>AW29+AX29</f>
        <v>0</v>
      </c>
      <c r="AW29" s="33">
        <f>G29*AO29</f>
        <v>0</v>
      </c>
      <c r="AX29" s="33">
        <f>G29*AP29</f>
        <v>0</v>
      </c>
      <c r="AY29" s="34" t="s">
        <v>297</v>
      </c>
      <c r="AZ29" s="34" t="s">
        <v>307</v>
      </c>
      <c r="BA29" s="28" t="s">
        <v>312</v>
      </c>
      <c r="BC29" s="33">
        <f>AW29+AX29</f>
        <v>0</v>
      </c>
      <c r="BD29" s="33">
        <f>H29/(100-BE29)*100</f>
        <v>0</v>
      </c>
      <c r="BE29" s="33">
        <v>0</v>
      </c>
      <c r="BF29" s="33">
        <f>29</f>
        <v>29</v>
      </c>
      <c r="BH29" s="16">
        <f>G29*AO29</f>
        <v>0</v>
      </c>
      <c r="BI29" s="16">
        <f>G29*AP29</f>
        <v>0</v>
      </c>
      <c r="BJ29" s="16">
        <f>G29*H29</f>
        <v>0</v>
      </c>
    </row>
    <row r="30" spans="1:62" x14ac:dyDescent="0.2">
      <c r="A30" s="4" t="s">
        <v>21</v>
      </c>
      <c r="B30" s="4" t="s">
        <v>100</v>
      </c>
      <c r="C30" s="103" t="s">
        <v>188</v>
      </c>
      <c r="D30" s="104"/>
      <c r="E30" s="104"/>
      <c r="F30" s="4" t="s">
        <v>265</v>
      </c>
      <c r="G30" s="68">
        <v>30.567</v>
      </c>
      <c r="H30" s="16">
        <v>0</v>
      </c>
      <c r="I30" s="16">
        <f>G30*AO30</f>
        <v>0</v>
      </c>
      <c r="J30" s="16">
        <f>G30*AP30</f>
        <v>0</v>
      </c>
      <c r="K30" s="16">
        <f>G30*H30</f>
        <v>0</v>
      </c>
      <c r="L30" s="27" t="s">
        <v>284</v>
      </c>
      <c r="Z30" s="33">
        <f>IF(AQ30="5",BJ30,0)</f>
        <v>0</v>
      </c>
      <c r="AB30" s="33">
        <f>IF(AQ30="1",BH30,0)</f>
        <v>0</v>
      </c>
      <c r="AC30" s="33">
        <f>IF(AQ30="1",BI30,0)</f>
        <v>0</v>
      </c>
      <c r="AD30" s="33">
        <f>IF(AQ30="7",BH30,0)</f>
        <v>0</v>
      </c>
      <c r="AE30" s="33">
        <f>IF(AQ30="7",BI30,0)</f>
        <v>0</v>
      </c>
      <c r="AF30" s="33">
        <f>IF(AQ30="2",BH30,0)</f>
        <v>0</v>
      </c>
      <c r="AG30" s="33">
        <f>IF(AQ30="2",BI30,0)</f>
        <v>0</v>
      </c>
      <c r="AH30" s="33">
        <f>IF(AQ30="0",BJ30,0)</f>
        <v>0</v>
      </c>
      <c r="AI30" s="28"/>
      <c r="AJ30" s="16">
        <f>IF(AN30=0,K30,0)</f>
        <v>0</v>
      </c>
      <c r="AK30" s="16">
        <f>IF(AN30=15,K30,0)</f>
        <v>0</v>
      </c>
      <c r="AL30" s="16">
        <f>IF(AN30=21,K30,0)</f>
        <v>0</v>
      </c>
      <c r="AN30" s="33">
        <v>21</v>
      </c>
      <c r="AO30" s="33">
        <f>H30*0</f>
        <v>0</v>
      </c>
      <c r="AP30" s="33">
        <f>H30*(1-0)</f>
        <v>0</v>
      </c>
      <c r="AQ30" s="27" t="s">
        <v>7</v>
      </c>
      <c r="AV30" s="33">
        <f>AW30+AX30</f>
        <v>0</v>
      </c>
      <c r="AW30" s="33">
        <f>G30*AO30</f>
        <v>0</v>
      </c>
      <c r="AX30" s="33">
        <f>G30*AP30</f>
        <v>0</v>
      </c>
      <c r="AY30" s="34" t="s">
        <v>297</v>
      </c>
      <c r="AZ30" s="34" t="s">
        <v>307</v>
      </c>
      <c r="BA30" s="28" t="s">
        <v>312</v>
      </c>
      <c r="BC30" s="33">
        <f>AW30+AX30</f>
        <v>0</v>
      </c>
      <c r="BD30" s="33">
        <f>H30/(100-BE30)*100</f>
        <v>0</v>
      </c>
      <c r="BE30" s="33">
        <v>0</v>
      </c>
      <c r="BF30" s="33">
        <f>30</f>
        <v>30</v>
      </c>
      <c r="BH30" s="16">
        <f>G30*AO30</f>
        <v>0</v>
      </c>
      <c r="BI30" s="16">
        <f>G30*AP30</f>
        <v>0</v>
      </c>
      <c r="BJ30" s="16">
        <f>G30*H30</f>
        <v>0</v>
      </c>
    </row>
    <row r="31" spans="1:62" x14ac:dyDescent="0.2">
      <c r="A31" s="5"/>
      <c r="B31" s="13" t="s">
        <v>23</v>
      </c>
      <c r="C31" s="105" t="s">
        <v>189</v>
      </c>
      <c r="D31" s="106"/>
      <c r="E31" s="106"/>
      <c r="F31" s="5" t="s">
        <v>6</v>
      </c>
      <c r="G31" s="5" t="s">
        <v>6</v>
      </c>
      <c r="H31" s="5" t="s">
        <v>6</v>
      </c>
      <c r="I31" s="36">
        <f>SUM(I32:I37)</f>
        <v>0</v>
      </c>
      <c r="J31" s="36">
        <f>SUM(J32:J37)</f>
        <v>0</v>
      </c>
      <c r="K31" s="36">
        <f>SUM(K32:K37)</f>
        <v>0</v>
      </c>
      <c r="L31" s="28"/>
      <c r="AI31" s="28"/>
      <c r="AS31" s="36">
        <f>SUM(AJ32:AJ37)</f>
        <v>0</v>
      </c>
      <c r="AT31" s="36">
        <f>SUM(AK32:AK37)</f>
        <v>0</v>
      </c>
      <c r="AU31" s="36">
        <f>SUM(AL32:AL37)</f>
        <v>0</v>
      </c>
    </row>
    <row r="32" spans="1:62" x14ac:dyDescent="0.2">
      <c r="A32" s="4" t="s">
        <v>22</v>
      </c>
      <c r="B32" s="4" t="s">
        <v>101</v>
      </c>
      <c r="C32" s="103" t="s">
        <v>190</v>
      </c>
      <c r="D32" s="104"/>
      <c r="E32" s="104"/>
      <c r="F32" s="4" t="s">
        <v>265</v>
      </c>
      <c r="G32" s="68">
        <v>30.567</v>
      </c>
      <c r="H32" s="16">
        <v>0</v>
      </c>
      <c r="I32" s="16">
        <f t="shared" ref="I32:I37" si="0">G32*AO32</f>
        <v>0</v>
      </c>
      <c r="J32" s="16">
        <f t="shared" ref="J32:J37" si="1">G32*AP32</f>
        <v>0</v>
      </c>
      <c r="K32" s="16">
        <f t="shared" ref="K32:K37" si="2">G32*H32</f>
        <v>0</v>
      </c>
      <c r="L32" s="27" t="s">
        <v>284</v>
      </c>
      <c r="Z32" s="33">
        <f t="shared" ref="Z32:Z37" si="3">IF(AQ32="5",BJ32,0)</f>
        <v>0</v>
      </c>
      <c r="AB32" s="33">
        <f t="shared" ref="AB32:AB37" si="4">IF(AQ32="1",BH32,0)</f>
        <v>0</v>
      </c>
      <c r="AC32" s="33">
        <f t="shared" ref="AC32:AC37" si="5">IF(AQ32="1",BI32,0)</f>
        <v>0</v>
      </c>
      <c r="AD32" s="33">
        <f t="shared" ref="AD32:AD37" si="6">IF(AQ32="7",BH32,0)</f>
        <v>0</v>
      </c>
      <c r="AE32" s="33">
        <f t="shared" ref="AE32:AE37" si="7">IF(AQ32="7",BI32,0)</f>
        <v>0</v>
      </c>
      <c r="AF32" s="33">
        <f t="shared" ref="AF32:AF37" si="8">IF(AQ32="2",BH32,0)</f>
        <v>0</v>
      </c>
      <c r="AG32" s="33">
        <f t="shared" ref="AG32:AG37" si="9">IF(AQ32="2",BI32,0)</f>
        <v>0</v>
      </c>
      <c r="AH32" s="33">
        <f t="shared" ref="AH32:AH37" si="10">IF(AQ32="0",BJ32,0)</f>
        <v>0</v>
      </c>
      <c r="AI32" s="28"/>
      <c r="AJ32" s="16">
        <f t="shared" ref="AJ32:AJ37" si="11">IF(AN32=0,K32,0)</f>
        <v>0</v>
      </c>
      <c r="AK32" s="16">
        <f t="shared" ref="AK32:AK37" si="12">IF(AN32=15,K32,0)</f>
        <v>0</v>
      </c>
      <c r="AL32" s="16">
        <f t="shared" ref="AL32:AL37" si="13">IF(AN32=21,K32,0)</f>
        <v>0</v>
      </c>
      <c r="AN32" s="33">
        <v>21</v>
      </c>
      <c r="AO32" s="33">
        <f>H32*0</f>
        <v>0</v>
      </c>
      <c r="AP32" s="33">
        <f>H32*(1-0)</f>
        <v>0</v>
      </c>
      <c r="AQ32" s="27" t="s">
        <v>7</v>
      </c>
      <c r="AV32" s="33">
        <f t="shared" ref="AV32:AV37" si="14">AW32+AX32</f>
        <v>0</v>
      </c>
      <c r="AW32" s="33">
        <f t="shared" ref="AW32:AW37" si="15">G32*AO32</f>
        <v>0</v>
      </c>
      <c r="AX32" s="33">
        <f t="shared" ref="AX32:AX37" si="16">G32*AP32</f>
        <v>0</v>
      </c>
      <c r="AY32" s="34" t="s">
        <v>298</v>
      </c>
      <c r="AZ32" s="34" t="s">
        <v>307</v>
      </c>
      <c r="BA32" s="28" t="s">
        <v>312</v>
      </c>
      <c r="BC32" s="33">
        <f t="shared" ref="BC32:BC37" si="17">AW32+AX32</f>
        <v>0</v>
      </c>
      <c r="BD32" s="33">
        <f t="shared" ref="BD32:BD37" si="18">H32/(100-BE32)*100</f>
        <v>0</v>
      </c>
      <c r="BE32" s="33">
        <v>0</v>
      </c>
      <c r="BF32" s="33">
        <f>32</f>
        <v>32</v>
      </c>
      <c r="BH32" s="16">
        <f t="shared" ref="BH32:BH37" si="19">G32*AO32</f>
        <v>0</v>
      </c>
      <c r="BI32" s="16">
        <f t="shared" ref="BI32:BI37" si="20">G32*AP32</f>
        <v>0</v>
      </c>
      <c r="BJ32" s="16">
        <f t="shared" ref="BJ32:BJ37" si="21">G32*H32</f>
        <v>0</v>
      </c>
    </row>
    <row r="33" spans="1:62" x14ac:dyDescent="0.2">
      <c r="A33" s="4" t="s">
        <v>23</v>
      </c>
      <c r="B33" s="4" t="s">
        <v>102</v>
      </c>
      <c r="C33" s="103" t="s">
        <v>191</v>
      </c>
      <c r="D33" s="104"/>
      <c r="E33" s="104"/>
      <c r="F33" s="4" t="s">
        <v>265</v>
      </c>
      <c r="G33" s="68">
        <v>79.706000000000003</v>
      </c>
      <c r="H33" s="16">
        <v>0</v>
      </c>
      <c r="I33" s="16">
        <f t="shared" si="0"/>
        <v>0</v>
      </c>
      <c r="J33" s="16">
        <f t="shared" si="1"/>
        <v>0</v>
      </c>
      <c r="K33" s="16">
        <f t="shared" si="2"/>
        <v>0</v>
      </c>
      <c r="L33" s="27" t="s">
        <v>284</v>
      </c>
      <c r="Z33" s="33">
        <f t="shared" si="3"/>
        <v>0</v>
      </c>
      <c r="AB33" s="33">
        <f t="shared" si="4"/>
        <v>0</v>
      </c>
      <c r="AC33" s="33">
        <f t="shared" si="5"/>
        <v>0</v>
      </c>
      <c r="AD33" s="33">
        <f t="shared" si="6"/>
        <v>0</v>
      </c>
      <c r="AE33" s="33">
        <f t="shared" si="7"/>
        <v>0</v>
      </c>
      <c r="AF33" s="33">
        <f t="shared" si="8"/>
        <v>0</v>
      </c>
      <c r="AG33" s="33">
        <f t="shared" si="9"/>
        <v>0</v>
      </c>
      <c r="AH33" s="33">
        <f t="shared" si="10"/>
        <v>0</v>
      </c>
      <c r="AI33" s="28"/>
      <c r="AJ33" s="16">
        <f t="shared" si="11"/>
        <v>0</v>
      </c>
      <c r="AK33" s="16">
        <f t="shared" si="12"/>
        <v>0</v>
      </c>
      <c r="AL33" s="16">
        <f t="shared" si="13"/>
        <v>0</v>
      </c>
      <c r="AN33" s="33">
        <v>21</v>
      </c>
      <c r="AO33" s="33">
        <f>H33*0</f>
        <v>0</v>
      </c>
      <c r="AP33" s="33">
        <f>H33*(1-0)</f>
        <v>0</v>
      </c>
      <c r="AQ33" s="27" t="s">
        <v>7</v>
      </c>
      <c r="AV33" s="33">
        <f t="shared" si="14"/>
        <v>0</v>
      </c>
      <c r="AW33" s="33">
        <f t="shared" si="15"/>
        <v>0</v>
      </c>
      <c r="AX33" s="33">
        <f t="shared" si="16"/>
        <v>0</v>
      </c>
      <c r="AY33" s="34" t="s">
        <v>298</v>
      </c>
      <c r="AZ33" s="34" t="s">
        <v>307</v>
      </c>
      <c r="BA33" s="28" t="s">
        <v>312</v>
      </c>
      <c r="BC33" s="33">
        <f t="shared" si="17"/>
        <v>0</v>
      </c>
      <c r="BD33" s="33">
        <f t="shared" si="18"/>
        <v>0</v>
      </c>
      <c r="BE33" s="33">
        <v>0</v>
      </c>
      <c r="BF33" s="33">
        <f>33</f>
        <v>33</v>
      </c>
      <c r="BH33" s="16">
        <f t="shared" si="19"/>
        <v>0</v>
      </c>
      <c r="BI33" s="16">
        <f t="shared" si="20"/>
        <v>0</v>
      </c>
      <c r="BJ33" s="16">
        <f t="shared" si="21"/>
        <v>0</v>
      </c>
    </row>
    <row r="34" spans="1:62" x14ac:dyDescent="0.2">
      <c r="A34" s="6" t="s">
        <v>24</v>
      </c>
      <c r="B34" s="6" t="s">
        <v>103</v>
      </c>
      <c r="C34" s="107" t="s">
        <v>192</v>
      </c>
      <c r="D34" s="108"/>
      <c r="E34" s="108"/>
      <c r="F34" s="6" t="s">
        <v>266</v>
      </c>
      <c r="G34" s="71">
        <v>27.896999999999998</v>
      </c>
      <c r="H34" s="17">
        <v>0</v>
      </c>
      <c r="I34" s="17">
        <f t="shared" si="0"/>
        <v>0</v>
      </c>
      <c r="J34" s="17">
        <f t="shared" si="1"/>
        <v>0</v>
      </c>
      <c r="K34" s="17">
        <f t="shared" si="2"/>
        <v>0</v>
      </c>
      <c r="L34" s="29" t="s">
        <v>284</v>
      </c>
      <c r="Z34" s="33">
        <f t="shared" si="3"/>
        <v>0</v>
      </c>
      <c r="AB34" s="33">
        <f t="shared" si="4"/>
        <v>0</v>
      </c>
      <c r="AC34" s="33">
        <f t="shared" si="5"/>
        <v>0</v>
      </c>
      <c r="AD34" s="33">
        <f t="shared" si="6"/>
        <v>0</v>
      </c>
      <c r="AE34" s="33">
        <f t="shared" si="7"/>
        <v>0</v>
      </c>
      <c r="AF34" s="33">
        <f t="shared" si="8"/>
        <v>0</v>
      </c>
      <c r="AG34" s="33">
        <f t="shared" si="9"/>
        <v>0</v>
      </c>
      <c r="AH34" s="33">
        <f t="shared" si="10"/>
        <v>0</v>
      </c>
      <c r="AI34" s="28"/>
      <c r="AJ34" s="17">
        <f t="shared" si="11"/>
        <v>0</v>
      </c>
      <c r="AK34" s="17">
        <f t="shared" si="12"/>
        <v>0</v>
      </c>
      <c r="AL34" s="17">
        <f t="shared" si="13"/>
        <v>0</v>
      </c>
      <c r="AN34" s="33">
        <v>21</v>
      </c>
      <c r="AO34" s="33">
        <f>H34*1</f>
        <v>0</v>
      </c>
      <c r="AP34" s="33">
        <f>H34*(1-1)</f>
        <v>0</v>
      </c>
      <c r="AQ34" s="29" t="s">
        <v>7</v>
      </c>
      <c r="AV34" s="33">
        <f t="shared" si="14"/>
        <v>0</v>
      </c>
      <c r="AW34" s="33">
        <f t="shared" si="15"/>
        <v>0</v>
      </c>
      <c r="AX34" s="33">
        <f t="shared" si="16"/>
        <v>0</v>
      </c>
      <c r="AY34" s="34" t="s">
        <v>298</v>
      </c>
      <c r="AZ34" s="34" t="s">
        <v>307</v>
      </c>
      <c r="BA34" s="28" t="s">
        <v>312</v>
      </c>
      <c r="BC34" s="33">
        <f t="shared" si="17"/>
        <v>0</v>
      </c>
      <c r="BD34" s="33">
        <f t="shared" si="18"/>
        <v>0</v>
      </c>
      <c r="BE34" s="33">
        <v>0</v>
      </c>
      <c r="BF34" s="33">
        <f>34</f>
        <v>34</v>
      </c>
      <c r="BH34" s="17">
        <f t="shared" si="19"/>
        <v>0</v>
      </c>
      <c r="BI34" s="17">
        <f t="shared" si="20"/>
        <v>0</v>
      </c>
      <c r="BJ34" s="17">
        <f t="shared" si="21"/>
        <v>0</v>
      </c>
    </row>
    <row r="35" spans="1:62" x14ac:dyDescent="0.2">
      <c r="A35" s="4" t="s">
        <v>25</v>
      </c>
      <c r="B35" s="4" t="s">
        <v>104</v>
      </c>
      <c r="C35" s="103" t="s">
        <v>193</v>
      </c>
      <c r="D35" s="104"/>
      <c r="E35" s="104"/>
      <c r="F35" s="4" t="s">
        <v>265</v>
      </c>
      <c r="G35" s="68">
        <v>18.664000000000001</v>
      </c>
      <c r="H35" s="16">
        <v>0</v>
      </c>
      <c r="I35" s="16">
        <f t="shared" si="0"/>
        <v>0</v>
      </c>
      <c r="J35" s="16">
        <f t="shared" si="1"/>
        <v>0</v>
      </c>
      <c r="K35" s="16">
        <f t="shared" si="2"/>
        <v>0</v>
      </c>
      <c r="L35" s="27" t="s">
        <v>284</v>
      </c>
      <c r="Z35" s="33">
        <f t="shared" si="3"/>
        <v>0</v>
      </c>
      <c r="AB35" s="33">
        <f t="shared" si="4"/>
        <v>0</v>
      </c>
      <c r="AC35" s="33">
        <f t="shared" si="5"/>
        <v>0</v>
      </c>
      <c r="AD35" s="33">
        <f t="shared" si="6"/>
        <v>0</v>
      </c>
      <c r="AE35" s="33">
        <f t="shared" si="7"/>
        <v>0</v>
      </c>
      <c r="AF35" s="33">
        <f t="shared" si="8"/>
        <v>0</v>
      </c>
      <c r="AG35" s="33">
        <f t="shared" si="9"/>
        <v>0</v>
      </c>
      <c r="AH35" s="33">
        <f t="shared" si="10"/>
        <v>0</v>
      </c>
      <c r="AI35" s="28"/>
      <c r="AJ35" s="16">
        <f t="shared" si="11"/>
        <v>0</v>
      </c>
      <c r="AK35" s="16">
        <f t="shared" si="12"/>
        <v>0</v>
      </c>
      <c r="AL35" s="16">
        <f t="shared" si="13"/>
        <v>0</v>
      </c>
      <c r="AN35" s="33">
        <v>21</v>
      </c>
      <c r="AO35" s="33">
        <f>H35*0</f>
        <v>0</v>
      </c>
      <c r="AP35" s="33">
        <f>H35*(1-0)</f>
        <v>0</v>
      </c>
      <c r="AQ35" s="27" t="s">
        <v>7</v>
      </c>
      <c r="AV35" s="33">
        <f t="shared" si="14"/>
        <v>0</v>
      </c>
      <c r="AW35" s="33">
        <f t="shared" si="15"/>
        <v>0</v>
      </c>
      <c r="AX35" s="33">
        <f t="shared" si="16"/>
        <v>0</v>
      </c>
      <c r="AY35" s="34" t="s">
        <v>298</v>
      </c>
      <c r="AZ35" s="34" t="s">
        <v>307</v>
      </c>
      <c r="BA35" s="28" t="s">
        <v>312</v>
      </c>
      <c r="BC35" s="33">
        <f t="shared" si="17"/>
        <v>0</v>
      </c>
      <c r="BD35" s="33">
        <f t="shared" si="18"/>
        <v>0</v>
      </c>
      <c r="BE35" s="33">
        <v>0</v>
      </c>
      <c r="BF35" s="33">
        <f>35</f>
        <v>35</v>
      </c>
      <c r="BH35" s="16">
        <f t="shared" si="19"/>
        <v>0</v>
      </c>
      <c r="BI35" s="16">
        <f t="shared" si="20"/>
        <v>0</v>
      </c>
      <c r="BJ35" s="16">
        <f t="shared" si="21"/>
        <v>0</v>
      </c>
    </row>
    <row r="36" spans="1:62" x14ac:dyDescent="0.2">
      <c r="A36" s="6" t="s">
        <v>26</v>
      </c>
      <c r="B36" s="6" t="s">
        <v>105</v>
      </c>
      <c r="C36" s="107" t="s">
        <v>194</v>
      </c>
      <c r="D36" s="108"/>
      <c r="E36" s="108"/>
      <c r="F36" s="6" t="s">
        <v>266</v>
      </c>
      <c r="G36" s="71">
        <v>33.642000000000003</v>
      </c>
      <c r="H36" s="17">
        <v>0</v>
      </c>
      <c r="I36" s="17">
        <f t="shared" si="0"/>
        <v>0</v>
      </c>
      <c r="J36" s="17">
        <f t="shared" si="1"/>
        <v>0</v>
      </c>
      <c r="K36" s="17">
        <f t="shared" si="2"/>
        <v>0</v>
      </c>
      <c r="L36" s="29" t="s">
        <v>284</v>
      </c>
      <c r="Z36" s="33">
        <f t="shared" si="3"/>
        <v>0</v>
      </c>
      <c r="AB36" s="33">
        <f t="shared" si="4"/>
        <v>0</v>
      </c>
      <c r="AC36" s="33">
        <f t="shared" si="5"/>
        <v>0</v>
      </c>
      <c r="AD36" s="33">
        <f t="shared" si="6"/>
        <v>0</v>
      </c>
      <c r="AE36" s="33">
        <f t="shared" si="7"/>
        <v>0</v>
      </c>
      <c r="AF36" s="33">
        <f t="shared" si="8"/>
        <v>0</v>
      </c>
      <c r="AG36" s="33">
        <f t="shared" si="9"/>
        <v>0</v>
      </c>
      <c r="AH36" s="33">
        <f t="shared" si="10"/>
        <v>0</v>
      </c>
      <c r="AI36" s="28"/>
      <c r="AJ36" s="17">
        <f t="shared" si="11"/>
        <v>0</v>
      </c>
      <c r="AK36" s="17">
        <f t="shared" si="12"/>
        <v>0</v>
      </c>
      <c r="AL36" s="17">
        <f t="shared" si="13"/>
        <v>0</v>
      </c>
      <c r="AN36" s="33">
        <v>21</v>
      </c>
      <c r="AO36" s="33">
        <f>H36*1</f>
        <v>0</v>
      </c>
      <c r="AP36" s="33">
        <f>H36*(1-1)</f>
        <v>0</v>
      </c>
      <c r="AQ36" s="29" t="s">
        <v>7</v>
      </c>
      <c r="AV36" s="33">
        <f t="shared" si="14"/>
        <v>0</v>
      </c>
      <c r="AW36" s="33">
        <f t="shared" si="15"/>
        <v>0</v>
      </c>
      <c r="AX36" s="33">
        <f t="shared" si="16"/>
        <v>0</v>
      </c>
      <c r="AY36" s="34" t="s">
        <v>298</v>
      </c>
      <c r="AZ36" s="34" t="s">
        <v>307</v>
      </c>
      <c r="BA36" s="28" t="s">
        <v>312</v>
      </c>
      <c r="BC36" s="33">
        <f t="shared" si="17"/>
        <v>0</v>
      </c>
      <c r="BD36" s="33">
        <f t="shared" si="18"/>
        <v>0</v>
      </c>
      <c r="BE36" s="33">
        <v>0</v>
      </c>
      <c r="BF36" s="33">
        <f>36</f>
        <v>36</v>
      </c>
      <c r="BH36" s="17">
        <f t="shared" si="19"/>
        <v>0</v>
      </c>
      <c r="BI36" s="17">
        <f t="shared" si="20"/>
        <v>0</v>
      </c>
      <c r="BJ36" s="17">
        <f t="shared" si="21"/>
        <v>0</v>
      </c>
    </row>
    <row r="37" spans="1:62" x14ac:dyDescent="0.2">
      <c r="A37" s="4" t="s">
        <v>27</v>
      </c>
      <c r="B37" s="4" t="s">
        <v>106</v>
      </c>
      <c r="C37" s="103" t="s">
        <v>195</v>
      </c>
      <c r="D37" s="104"/>
      <c r="E37" s="104"/>
      <c r="F37" s="4" t="s">
        <v>265</v>
      </c>
      <c r="G37" s="68">
        <v>63.765000000000001</v>
      </c>
      <c r="H37" s="16">
        <v>0</v>
      </c>
      <c r="I37" s="16">
        <f t="shared" si="0"/>
        <v>0</v>
      </c>
      <c r="J37" s="16">
        <f t="shared" si="1"/>
        <v>0</v>
      </c>
      <c r="K37" s="16">
        <f t="shared" si="2"/>
        <v>0</v>
      </c>
      <c r="L37" s="27" t="s">
        <v>284</v>
      </c>
      <c r="Z37" s="33">
        <f t="shared" si="3"/>
        <v>0</v>
      </c>
      <c r="AB37" s="33">
        <f t="shared" si="4"/>
        <v>0</v>
      </c>
      <c r="AC37" s="33">
        <f t="shared" si="5"/>
        <v>0</v>
      </c>
      <c r="AD37" s="33">
        <f t="shared" si="6"/>
        <v>0</v>
      </c>
      <c r="AE37" s="33">
        <f t="shared" si="7"/>
        <v>0</v>
      </c>
      <c r="AF37" s="33">
        <f t="shared" si="8"/>
        <v>0</v>
      </c>
      <c r="AG37" s="33">
        <f t="shared" si="9"/>
        <v>0</v>
      </c>
      <c r="AH37" s="33">
        <f t="shared" si="10"/>
        <v>0</v>
      </c>
      <c r="AI37" s="28"/>
      <c r="AJ37" s="16">
        <f t="shared" si="11"/>
        <v>0</v>
      </c>
      <c r="AK37" s="16">
        <f t="shared" si="12"/>
        <v>0</v>
      </c>
      <c r="AL37" s="16">
        <f t="shared" si="13"/>
        <v>0</v>
      </c>
      <c r="AN37" s="33">
        <v>21</v>
      </c>
      <c r="AO37" s="33">
        <f>H37*0</f>
        <v>0</v>
      </c>
      <c r="AP37" s="33">
        <f>H37*(1-0)</f>
        <v>0</v>
      </c>
      <c r="AQ37" s="27" t="s">
        <v>7</v>
      </c>
      <c r="AV37" s="33">
        <f t="shared" si="14"/>
        <v>0</v>
      </c>
      <c r="AW37" s="33">
        <f t="shared" si="15"/>
        <v>0</v>
      </c>
      <c r="AX37" s="33">
        <f t="shared" si="16"/>
        <v>0</v>
      </c>
      <c r="AY37" s="34" t="s">
        <v>298</v>
      </c>
      <c r="AZ37" s="34" t="s">
        <v>307</v>
      </c>
      <c r="BA37" s="28" t="s">
        <v>312</v>
      </c>
      <c r="BC37" s="33">
        <f t="shared" si="17"/>
        <v>0</v>
      </c>
      <c r="BD37" s="33">
        <f t="shared" si="18"/>
        <v>0</v>
      </c>
      <c r="BE37" s="33">
        <v>0</v>
      </c>
      <c r="BF37" s="33">
        <f>37</f>
        <v>37</v>
      </c>
      <c r="BH37" s="16">
        <f t="shared" si="19"/>
        <v>0</v>
      </c>
      <c r="BI37" s="16">
        <f t="shared" si="20"/>
        <v>0</v>
      </c>
      <c r="BJ37" s="16">
        <f t="shared" si="21"/>
        <v>0</v>
      </c>
    </row>
    <row r="38" spans="1:62" x14ac:dyDescent="0.2">
      <c r="A38" s="5"/>
      <c r="B38" s="13" t="s">
        <v>51</v>
      </c>
      <c r="C38" s="105" t="s">
        <v>196</v>
      </c>
      <c r="D38" s="106"/>
      <c r="E38" s="106"/>
      <c r="F38" s="5" t="s">
        <v>6</v>
      </c>
      <c r="G38" s="5" t="s">
        <v>6</v>
      </c>
      <c r="H38" s="5" t="s">
        <v>6</v>
      </c>
      <c r="I38" s="36">
        <f>SUM(I39:I39)</f>
        <v>0</v>
      </c>
      <c r="J38" s="36">
        <f>SUM(J39:J39)</f>
        <v>0</v>
      </c>
      <c r="K38" s="36">
        <f>SUM(K39:K39)</f>
        <v>0</v>
      </c>
      <c r="L38" s="28"/>
      <c r="AI38" s="28"/>
      <c r="AS38" s="36">
        <f>SUM(AJ39:AJ39)</f>
        <v>0</v>
      </c>
      <c r="AT38" s="36">
        <f>SUM(AK39:AK39)</f>
        <v>0</v>
      </c>
      <c r="AU38" s="36">
        <f>SUM(AL39:AL39)</f>
        <v>0</v>
      </c>
    </row>
    <row r="39" spans="1:62" x14ac:dyDescent="0.2">
      <c r="A39" s="4" t="s">
        <v>28</v>
      </c>
      <c r="B39" s="4" t="s">
        <v>107</v>
      </c>
      <c r="C39" s="103" t="s">
        <v>197</v>
      </c>
      <c r="D39" s="104"/>
      <c r="E39" s="104"/>
      <c r="F39" s="4" t="s">
        <v>265</v>
      </c>
      <c r="G39" s="68">
        <v>3.8250000000000002</v>
      </c>
      <c r="H39" s="16">
        <v>0</v>
      </c>
      <c r="I39" s="16">
        <f>G39*AO39</f>
        <v>0</v>
      </c>
      <c r="J39" s="16">
        <f>G39*AP39</f>
        <v>0</v>
      </c>
      <c r="K39" s="16">
        <f>G39*H39</f>
        <v>0</v>
      </c>
      <c r="L39" s="27" t="s">
        <v>284</v>
      </c>
      <c r="Z39" s="33">
        <f>IF(AQ39="5",BJ39,0)</f>
        <v>0</v>
      </c>
      <c r="AB39" s="33">
        <f>IF(AQ39="1",BH39,0)</f>
        <v>0</v>
      </c>
      <c r="AC39" s="33">
        <f>IF(AQ39="1",BI39,0)</f>
        <v>0</v>
      </c>
      <c r="AD39" s="33">
        <f>IF(AQ39="7",BH39,0)</f>
        <v>0</v>
      </c>
      <c r="AE39" s="33">
        <f>IF(AQ39="7",BI39,0)</f>
        <v>0</v>
      </c>
      <c r="AF39" s="33">
        <f>IF(AQ39="2",BH39,0)</f>
        <v>0</v>
      </c>
      <c r="AG39" s="33">
        <f>IF(AQ39="2",BI39,0)</f>
        <v>0</v>
      </c>
      <c r="AH39" s="33">
        <f>IF(AQ39="0",BJ39,0)</f>
        <v>0</v>
      </c>
      <c r="AI39" s="28"/>
      <c r="AJ39" s="16">
        <f>IF(AN39=0,K39,0)</f>
        <v>0</v>
      </c>
      <c r="AK39" s="16">
        <f>IF(AN39=15,K39,0)</f>
        <v>0</v>
      </c>
      <c r="AL39" s="16">
        <f>IF(AN39=21,K39,0)</f>
        <v>0</v>
      </c>
      <c r="AN39" s="33">
        <v>21</v>
      </c>
      <c r="AO39" s="33">
        <f>H39*0.502036124794745</f>
        <v>0</v>
      </c>
      <c r="AP39" s="33">
        <f>H39*(1-0.502036124794745)</f>
        <v>0</v>
      </c>
      <c r="AQ39" s="27" t="s">
        <v>7</v>
      </c>
      <c r="AV39" s="33">
        <f>AW39+AX39</f>
        <v>0</v>
      </c>
      <c r="AW39" s="33">
        <f>G39*AO39</f>
        <v>0</v>
      </c>
      <c r="AX39" s="33">
        <f>G39*AP39</f>
        <v>0</v>
      </c>
      <c r="AY39" s="34" t="s">
        <v>299</v>
      </c>
      <c r="AZ39" s="34" t="s">
        <v>308</v>
      </c>
      <c r="BA39" s="28" t="s">
        <v>312</v>
      </c>
      <c r="BC39" s="33">
        <f>AW39+AX39</f>
        <v>0</v>
      </c>
      <c r="BD39" s="33">
        <f>H39/(100-BE39)*100</f>
        <v>0</v>
      </c>
      <c r="BE39" s="33">
        <v>0</v>
      </c>
      <c r="BF39" s="33">
        <f>39</f>
        <v>39</v>
      </c>
      <c r="BH39" s="16">
        <f>G39*AO39</f>
        <v>0</v>
      </c>
      <c r="BI39" s="16">
        <f>G39*AP39</f>
        <v>0</v>
      </c>
      <c r="BJ39" s="16">
        <f>G39*H39</f>
        <v>0</v>
      </c>
    </row>
    <row r="40" spans="1:62" x14ac:dyDescent="0.2">
      <c r="A40" s="5"/>
      <c r="B40" s="13" t="s">
        <v>62</v>
      </c>
      <c r="C40" s="105" t="s">
        <v>198</v>
      </c>
      <c r="D40" s="106"/>
      <c r="E40" s="106"/>
      <c r="F40" s="5" t="s">
        <v>6</v>
      </c>
      <c r="G40" s="5" t="s">
        <v>6</v>
      </c>
      <c r="H40" s="5" t="s">
        <v>6</v>
      </c>
      <c r="I40" s="36">
        <f>SUM(I41:I42)</f>
        <v>0</v>
      </c>
      <c r="J40" s="36">
        <f>SUM(J41:J42)</f>
        <v>0</v>
      </c>
      <c r="K40" s="36">
        <f>SUM(K41:K42)</f>
        <v>0</v>
      </c>
      <c r="L40" s="28"/>
      <c r="AI40" s="28"/>
      <c r="AS40" s="36">
        <f>SUM(AJ41:AJ42)</f>
        <v>0</v>
      </c>
      <c r="AT40" s="36">
        <f>SUM(AK41:AK42)</f>
        <v>0</v>
      </c>
      <c r="AU40" s="36">
        <f>SUM(AL41:AL42)</f>
        <v>0</v>
      </c>
    </row>
    <row r="41" spans="1:62" x14ac:dyDescent="0.2">
      <c r="A41" s="4" t="s">
        <v>29</v>
      </c>
      <c r="B41" s="4" t="s">
        <v>108</v>
      </c>
      <c r="C41" s="103" t="s">
        <v>199</v>
      </c>
      <c r="D41" s="104"/>
      <c r="E41" s="104"/>
      <c r="F41" s="4" t="s">
        <v>263</v>
      </c>
      <c r="G41" s="68">
        <v>71.680999999999997</v>
      </c>
      <c r="H41" s="16">
        <v>0</v>
      </c>
      <c r="I41" s="16">
        <f>G41*AO41</f>
        <v>0</v>
      </c>
      <c r="J41" s="16">
        <f>G41*AP41</f>
        <v>0</v>
      </c>
      <c r="K41" s="16">
        <f>G41*H41</f>
        <v>0</v>
      </c>
      <c r="L41" s="27" t="s">
        <v>284</v>
      </c>
      <c r="Z41" s="33">
        <f>IF(AQ41="5",BJ41,0)</f>
        <v>0</v>
      </c>
      <c r="AB41" s="33">
        <f>IF(AQ41="1",BH41,0)</f>
        <v>0</v>
      </c>
      <c r="AC41" s="33">
        <f>IF(AQ41="1",BI41,0)</f>
        <v>0</v>
      </c>
      <c r="AD41" s="33">
        <f>IF(AQ41="7",BH41,0)</f>
        <v>0</v>
      </c>
      <c r="AE41" s="33">
        <f>IF(AQ41="7",BI41,0)</f>
        <v>0</v>
      </c>
      <c r="AF41" s="33">
        <f>IF(AQ41="2",BH41,0)</f>
        <v>0</v>
      </c>
      <c r="AG41" s="33">
        <f>IF(AQ41="2",BI41,0)</f>
        <v>0</v>
      </c>
      <c r="AH41" s="33">
        <f>IF(AQ41="0",BJ41,0)</f>
        <v>0</v>
      </c>
      <c r="AI41" s="28"/>
      <c r="AJ41" s="16">
        <f>IF(AN41=0,K41,0)</f>
        <v>0</v>
      </c>
      <c r="AK41" s="16">
        <f>IF(AN41=15,K41,0)</f>
        <v>0</v>
      </c>
      <c r="AL41" s="16">
        <f>IF(AN41=21,K41,0)</f>
        <v>0</v>
      </c>
      <c r="AN41" s="33">
        <v>21</v>
      </c>
      <c r="AO41" s="33">
        <f>H41*0.771268483076516</f>
        <v>0</v>
      </c>
      <c r="AP41" s="33">
        <f>H41*(1-0.771268483076516)</f>
        <v>0</v>
      </c>
      <c r="AQ41" s="27" t="s">
        <v>7</v>
      </c>
      <c r="AV41" s="33">
        <f>AW41+AX41</f>
        <v>0</v>
      </c>
      <c r="AW41" s="33">
        <f>G41*AO41</f>
        <v>0</v>
      </c>
      <c r="AX41" s="33">
        <f>G41*AP41</f>
        <v>0</v>
      </c>
      <c r="AY41" s="34" t="s">
        <v>300</v>
      </c>
      <c r="AZ41" s="34" t="s">
        <v>309</v>
      </c>
      <c r="BA41" s="28" t="s">
        <v>312</v>
      </c>
      <c r="BC41" s="33">
        <f>AW41+AX41</f>
        <v>0</v>
      </c>
      <c r="BD41" s="33">
        <f>H41/(100-BE41)*100</f>
        <v>0</v>
      </c>
      <c r="BE41" s="33">
        <v>0</v>
      </c>
      <c r="BF41" s="33">
        <f>41</f>
        <v>41</v>
      </c>
      <c r="BH41" s="16">
        <f>G41*AO41</f>
        <v>0</v>
      </c>
      <c r="BI41" s="16">
        <f>G41*AP41</f>
        <v>0</v>
      </c>
      <c r="BJ41" s="16">
        <f>G41*H41</f>
        <v>0</v>
      </c>
    </row>
    <row r="42" spans="1:62" x14ac:dyDescent="0.2">
      <c r="A42" s="4" t="s">
        <v>30</v>
      </c>
      <c r="B42" s="4" t="s">
        <v>109</v>
      </c>
      <c r="C42" s="103" t="s">
        <v>200</v>
      </c>
      <c r="D42" s="104"/>
      <c r="E42" s="104"/>
      <c r="F42" s="4" t="s">
        <v>266</v>
      </c>
      <c r="G42" s="68">
        <v>54.191000000000003</v>
      </c>
      <c r="H42" s="16">
        <v>0</v>
      </c>
      <c r="I42" s="16">
        <f>G42*AO42</f>
        <v>0</v>
      </c>
      <c r="J42" s="16">
        <f>G42*AP42</f>
        <v>0</v>
      </c>
      <c r="K42" s="16">
        <f>G42*H42</f>
        <v>0</v>
      </c>
      <c r="L42" s="27" t="s">
        <v>284</v>
      </c>
      <c r="Z42" s="33">
        <f>IF(AQ42="5",BJ42,0)</f>
        <v>0</v>
      </c>
      <c r="AB42" s="33">
        <f>IF(AQ42="1",BH42,0)</f>
        <v>0</v>
      </c>
      <c r="AC42" s="33">
        <f>IF(AQ42="1",BI42,0)</f>
        <v>0</v>
      </c>
      <c r="AD42" s="33">
        <f>IF(AQ42="7",BH42,0)</f>
        <v>0</v>
      </c>
      <c r="AE42" s="33">
        <f>IF(AQ42="7",BI42,0)</f>
        <v>0</v>
      </c>
      <c r="AF42" s="33">
        <f>IF(AQ42="2",BH42,0)</f>
        <v>0</v>
      </c>
      <c r="AG42" s="33">
        <f>IF(AQ42="2",BI42,0)</f>
        <v>0</v>
      </c>
      <c r="AH42" s="33">
        <f>IF(AQ42="0",BJ42,0)</f>
        <v>0</v>
      </c>
      <c r="AI42" s="28"/>
      <c r="AJ42" s="16">
        <f>IF(AN42=0,K42,0)</f>
        <v>0</v>
      </c>
      <c r="AK42" s="16">
        <f>IF(AN42=15,K42,0)</f>
        <v>0</v>
      </c>
      <c r="AL42" s="16">
        <f>IF(AN42=21,K42,0)</f>
        <v>0</v>
      </c>
      <c r="AN42" s="33">
        <v>21</v>
      </c>
      <c r="AO42" s="33">
        <f>H42*0.870285390095339</f>
        <v>0</v>
      </c>
      <c r="AP42" s="33">
        <f>H42*(1-0.870285390095339)</f>
        <v>0</v>
      </c>
      <c r="AQ42" s="27" t="s">
        <v>7</v>
      </c>
      <c r="AV42" s="33">
        <f>AW42+AX42</f>
        <v>0</v>
      </c>
      <c r="AW42" s="33">
        <f>G42*AO42</f>
        <v>0</v>
      </c>
      <c r="AX42" s="33">
        <f>G42*AP42</f>
        <v>0</v>
      </c>
      <c r="AY42" s="34" t="s">
        <v>300</v>
      </c>
      <c r="AZ42" s="34" t="s">
        <v>309</v>
      </c>
      <c r="BA42" s="28" t="s">
        <v>312</v>
      </c>
      <c r="BC42" s="33">
        <f>AW42+AX42</f>
        <v>0</v>
      </c>
      <c r="BD42" s="33">
        <f>H42/(100-BE42)*100</f>
        <v>0</v>
      </c>
      <c r="BE42" s="33">
        <v>0</v>
      </c>
      <c r="BF42" s="33">
        <f>42</f>
        <v>42</v>
      </c>
      <c r="BH42" s="16">
        <f>G42*AO42</f>
        <v>0</v>
      </c>
      <c r="BI42" s="16">
        <f>G42*AP42</f>
        <v>0</v>
      </c>
      <c r="BJ42" s="16">
        <f>G42*H42</f>
        <v>0</v>
      </c>
    </row>
    <row r="43" spans="1:62" x14ac:dyDescent="0.2">
      <c r="A43" s="5"/>
      <c r="B43" s="13" t="s">
        <v>110</v>
      </c>
      <c r="C43" s="105" t="s">
        <v>201</v>
      </c>
      <c r="D43" s="106"/>
      <c r="E43" s="106"/>
      <c r="F43" s="5" t="s">
        <v>6</v>
      </c>
      <c r="G43" s="5" t="s">
        <v>6</v>
      </c>
      <c r="H43" s="5" t="s">
        <v>6</v>
      </c>
      <c r="I43" s="36">
        <f>SUM(I44:I57)</f>
        <v>0</v>
      </c>
      <c r="J43" s="36">
        <f>SUM(J44:J57)</f>
        <v>0</v>
      </c>
      <c r="K43" s="36">
        <f>SUM(K44:K57)</f>
        <v>0</v>
      </c>
      <c r="L43" s="28"/>
      <c r="AI43" s="28"/>
      <c r="AS43" s="36">
        <f>SUM(AJ44:AJ57)</f>
        <v>0</v>
      </c>
      <c r="AT43" s="36">
        <f>SUM(AK44:AK57)</f>
        <v>0</v>
      </c>
      <c r="AU43" s="36">
        <f>SUM(AL44:AL57)</f>
        <v>0</v>
      </c>
    </row>
    <row r="44" spans="1:62" x14ac:dyDescent="0.2">
      <c r="A44" s="4" t="s">
        <v>31</v>
      </c>
      <c r="B44" s="4" t="s">
        <v>111</v>
      </c>
      <c r="C44" s="103" t="s">
        <v>202</v>
      </c>
      <c r="D44" s="104"/>
      <c r="E44" s="104"/>
      <c r="F44" s="4" t="s">
        <v>267</v>
      </c>
      <c r="G44" s="68">
        <v>1</v>
      </c>
      <c r="H44" s="16">
        <v>0</v>
      </c>
      <c r="I44" s="16">
        <f t="shared" ref="I44:I57" si="22">G44*AO44</f>
        <v>0</v>
      </c>
      <c r="J44" s="16">
        <f t="shared" ref="J44:J57" si="23">G44*AP44</f>
        <v>0</v>
      </c>
      <c r="K44" s="16">
        <f t="shared" ref="K44:K57" si="24">G44*H44</f>
        <v>0</v>
      </c>
      <c r="L44" s="27" t="s">
        <v>284</v>
      </c>
      <c r="Z44" s="33">
        <f t="shared" ref="Z44:Z57" si="25">IF(AQ44="5",BJ44,0)</f>
        <v>0</v>
      </c>
      <c r="AB44" s="33">
        <f t="shared" ref="AB44:AB57" si="26">IF(AQ44="1",BH44,0)</f>
        <v>0</v>
      </c>
      <c r="AC44" s="33">
        <f t="shared" ref="AC44:AC57" si="27">IF(AQ44="1",BI44,0)</f>
        <v>0</v>
      </c>
      <c r="AD44" s="33">
        <f t="shared" ref="AD44:AD57" si="28">IF(AQ44="7",BH44,0)</f>
        <v>0</v>
      </c>
      <c r="AE44" s="33">
        <f t="shared" ref="AE44:AE57" si="29">IF(AQ44="7",BI44,0)</f>
        <v>0</v>
      </c>
      <c r="AF44" s="33">
        <f t="shared" ref="AF44:AF57" si="30">IF(AQ44="2",BH44,0)</f>
        <v>0</v>
      </c>
      <c r="AG44" s="33">
        <f t="shared" ref="AG44:AG57" si="31">IF(AQ44="2",BI44,0)</f>
        <v>0</v>
      </c>
      <c r="AH44" s="33">
        <f t="shared" ref="AH44:AH57" si="32">IF(AQ44="0",BJ44,0)</f>
        <v>0</v>
      </c>
      <c r="AI44" s="28"/>
      <c r="AJ44" s="16">
        <f t="shared" ref="AJ44:AJ57" si="33">IF(AN44=0,K44,0)</f>
        <v>0</v>
      </c>
      <c r="AK44" s="16">
        <f t="shared" ref="AK44:AK57" si="34">IF(AN44=15,K44,0)</f>
        <v>0</v>
      </c>
      <c r="AL44" s="16">
        <f t="shared" ref="AL44:AL57" si="35">IF(AN44=21,K44,0)</f>
        <v>0</v>
      </c>
      <c r="AN44" s="33">
        <v>21</v>
      </c>
      <c r="AO44" s="33">
        <f>H44*0.163533333333333</f>
        <v>0</v>
      </c>
      <c r="AP44" s="33">
        <f>H44*(1-0.163533333333333)</f>
        <v>0</v>
      </c>
      <c r="AQ44" s="27" t="s">
        <v>7</v>
      </c>
      <c r="AV44" s="33">
        <f t="shared" ref="AV44:AV57" si="36">AW44+AX44</f>
        <v>0</v>
      </c>
      <c r="AW44" s="33">
        <f t="shared" ref="AW44:AW57" si="37">G44*AO44</f>
        <v>0</v>
      </c>
      <c r="AX44" s="33">
        <f t="shared" ref="AX44:AX57" si="38">G44*AP44</f>
        <v>0</v>
      </c>
      <c r="AY44" s="34" t="s">
        <v>301</v>
      </c>
      <c r="AZ44" s="34" t="s">
        <v>310</v>
      </c>
      <c r="BA44" s="28" t="s">
        <v>312</v>
      </c>
      <c r="BC44" s="33">
        <f t="shared" ref="BC44:BC57" si="39">AW44+AX44</f>
        <v>0</v>
      </c>
      <c r="BD44" s="33">
        <f t="shared" ref="BD44:BD57" si="40">H44/(100-BE44)*100</f>
        <v>0</v>
      </c>
      <c r="BE44" s="33">
        <v>0</v>
      </c>
      <c r="BF44" s="33">
        <f>44</f>
        <v>44</v>
      </c>
      <c r="BH44" s="16">
        <f t="shared" ref="BH44:BH57" si="41">G44*AO44</f>
        <v>0</v>
      </c>
      <c r="BI44" s="16">
        <f t="shared" ref="BI44:BI57" si="42">G44*AP44</f>
        <v>0</v>
      </c>
      <c r="BJ44" s="16">
        <f t="shared" ref="BJ44:BJ57" si="43">G44*H44</f>
        <v>0</v>
      </c>
    </row>
    <row r="45" spans="1:62" x14ac:dyDescent="0.2">
      <c r="A45" s="4" t="s">
        <v>32</v>
      </c>
      <c r="B45" s="4" t="s">
        <v>112</v>
      </c>
      <c r="C45" s="103" t="s">
        <v>203</v>
      </c>
      <c r="D45" s="104"/>
      <c r="E45" s="104"/>
      <c r="F45" s="4" t="s">
        <v>264</v>
      </c>
      <c r="G45" s="68">
        <v>58.47</v>
      </c>
      <c r="H45" s="16">
        <v>0</v>
      </c>
      <c r="I45" s="16">
        <f t="shared" si="22"/>
        <v>0</v>
      </c>
      <c r="J45" s="16">
        <f t="shared" si="23"/>
        <v>0</v>
      </c>
      <c r="K45" s="16">
        <f t="shared" si="24"/>
        <v>0</v>
      </c>
      <c r="L45" s="27" t="s">
        <v>284</v>
      </c>
      <c r="Z45" s="33">
        <f t="shared" si="25"/>
        <v>0</v>
      </c>
      <c r="AB45" s="33">
        <f t="shared" si="26"/>
        <v>0</v>
      </c>
      <c r="AC45" s="33">
        <f t="shared" si="27"/>
        <v>0</v>
      </c>
      <c r="AD45" s="33">
        <f t="shared" si="28"/>
        <v>0</v>
      </c>
      <c r="AE45" s="33">
        <f t="shared" si="29"/>
        <v>0</v>
      </c>
      <c r="AF45" s="33">
        <f t="shared" si="30"/>
        <v>0</v>
      </c>
      <c r="AG45" s="33">
        <f t="shared" si="31"/>
        <v>0</v>
      </c>
      <c r="AH45" s="33">
        <f t="shared" si="32"/>
        <v>0</v>
      </c>
      <c r="AI45" s="28"/>
      <c r="AJ45" s="16">
        <f t="shared" si="33"/>
        <v>0</v>
      </c>
      <c r="AK45" s="16">
        <f t="shared" si="34"/>
        <v>0</v>
      </c>
      <c r="AL45" s="16">
        <f t="shared" si="35"/>
        <v>0</v>
      </c>
      <c r="AN45" s="33">
        <v>21</v>
      </c>
      <c r="AO45" s="33">
        <f>H45*0</f>
        <v>0</v>
      </c>
      <c r="AP45" s="33">
        <f>H45*(1-0)</f>
        <v>0</v>
      </c>
      <c r="AQ45" s="27" t="s">
        <v>7</v>
      </c>
      <c r="AV45" s="33">
        <f t="shared" si="36"/>
        <v>0</v>
      </c>
      <c r="AW45" s="33">
        <f t="shared" si="37"/>
        <v>0</v>
      </c>
      <c r="AX45" s="33">
        <f t="shared" si="38"/>
        <v>0</v>
      </c>
      <c r="AY45" s="34" t="s">
        <v>301</v>
      </c>
      <c r="AZ45" s="34" t="s">
        <v>310</v>
      </c>
      <c r="BA45" s="28" t="s">
        <v>312</v>
      </c>
      <c r="BC45" s="33">
        <f t="shared" si="39"/>
        <v>0</v>
      </c>
      <c r="BD45" s="33">
        <f t="shared" si="40"/>
        <v>0</v>
      </c>
      <c r="BE45" s="33">
        <v>0</v>
      </c>
      <c r="BF45" s="33">
        <f>45</f>
        <v>45</v>
      </c>
      <c r="BH45" s="16">
        <f t="shared" si="41"/>
        <v>0</v>
      </c>
      <c r="BI45" s="16">
        <f t="shared" si="42"/>
        <v>0</v>
      </c>
      <c r="BJ45" s="16">
        <f t="shared" si="43"/>
        <v>0</v>
      </c>
    </row>
    <row r="46" spans="1:62" x14ac:dyDescent="0.2">
      <c r="A46" s="6" t="s">
        <v>33</v>
      </c>
      <c r="B46" s="6" t="s">
        <v>113</v>
      </c>
      <c r="C46" s="107" t="s">
        <v>204</v>
      </c>
      <c r="D46" s="108"/>
      <c r="E46" s="108"/>
      <c r="F46" s="6" t="s">
        <v>264</v>
      </c>
      <c r="G46" s="71">
        <v>61.393999999999998</v>
      </c>
      <c r="H46" s="17">
        <v>0</v>
      </c>
      <c r="I46" s="17">
        <f t="shared" si="22"/>
        <v>0</v>
      </c>
      <c r="J46" s="17">
        <f t="shared" si="23"/>
        <v>0</v>
      </c>
      <c r="K46" s="17">
        <f t="shared" si="24"/>
        <v>0</v>
      </c>
      <c r="L46" s="29" t="s">
        <v>284</v>
      </c>
      <c r="Z46" s="33">
        <f t="shared" si="25"/>
        <v>0</v>
      </c>
      <c r="AB46" s="33">
        <f t="shared" si="26"/>
        <v>0</v>
      </c>
      <c r="AC46" s="33">
        <f t="shared" si="27"/>
        <v>0</v>
      </c>
      <c r="AD46" s="33">
        <f t="shared" si="28"/>
        <v>0</v>
      </c>
      <c r="AE46" s="33">
        <f t="shared" si="29"/>
        <v>0</v>
      </c>
      <c r="AF46" s="33">
        <f t="shared" si="30"/>
        <v>0</v>
      </c>
      <c r="AG46" s="33">
        <f t="shared" si="31"/>
        <v>0</v>
      </c>
      <c r="AH46" s="33">
        <f t="shared" si="32"/>
        <v>0</v>
      </c>
      <c r="AI46" s="28"/>
      <c r="AJ46" s="17">
        <f t="shared" si="33"/>
        <v>0</v>
      </c>
      <c r="AK46" s="17">
        <f t="shared" si="34"/>
        <v>0</v>
      </c>
      <c r="AL46" s="17">
        <f t="shared" si="35"/>
        <v>0</v>
      </c>
      <c r="AN46" s="33">
        <v>21</v>
      </c>
      <c r="AO46" s="33">
        <f>H46*1</f>
        <v>0</v>
      </c>
      <c r="AP46" s="33">
        <f>H46*(1-1)</f>
        <v>0</v>
      </c>
      <c r="AQ46" s="29" t="s">
        <v>7</v>
      </c>
      <c r="AV46" s="33">
        <f t="shared" si="36"/>
        <v>0</v>
      </c>
      <c r="AW46" s="33">
        <f t="shared" si="37"/>
        <v>0</v>
      </c>
      <c r="AX46" s="33">
        <f t="shared" si="38"/>
        <v>0</v>
      </c>
      <c r="AY46" s="34" t="s">
        <v>301</v>
      </c>
      <c r="AZ46" s="34" t="s">
        <v>310</v>
      </c>
      <c r="BA46" s="28" t="s">
        <v>312</v>
      </c>
      <c r="BC46" s="33">
        <f t="shared" si="39"/>
        <v>0</v>
      </c>
      <c r="BD46" s="33">
        <f t="shared" si="40"/>
        <v>0</v>
      </c>
      <c r="BE46" s="33">
        <v>0</v>
      </c>
      <c r="BF46" s="33">
        <f>46</f>
        <v>46</v>
      </c>
      <c r="BH46" s="17">
        <f t="shared" si="41"/>
        <v>0</v>
      </c>
      <c r="BI46" s="17">
        <f t="shared" si="42"/>
        <v>0</v>
      </c>
      <c r="BJ46" s="17">
        <f t="shared" si="43"/>
        <v>0</v>
      </c>
    </row>
    <row r="47" spans="1:62" x14ac:dyDescent="0.2">
      <c r="A47" s="4" t="s">
        <v>34</v>
      </c>
      <c r="B47" s="4" t="s">
        <v>114</v>
      </c>
      <c r="C47" s="103" t="s">
        <v>205</v>
      </c>
      <c r="D47" s="104"/>
      <c r="E47" s="104"/>
      <c r="F47" s="4" t="s">
        <v>264</v>
      </c>
      <c r="G47" s="68">
        <v>275.33</v>
      </c>
      <c r="H47" s="16">
        <v>0</v>
      </c>
      <c r="I47" s="16">
        <f t="shared" si="22"/>
        <v>0</v>
      </c>
      <c r="J47" s="16">
        <f t="shared" si="23"/>
        <v>0</v>
      </c>
      <c r="K47" s="16">
        <f t="shared" si="24"/>
        <v>0</v>
      </c>
      <c r="L47" s="27" t="s">
        <v>284</v>
      </c>
      <c r="Z47" s="33">
        <f t="shared" si="25"/>
        <v>0</v>
      </c>
      <c r="AB47" s="33">
        <f t="shared" si="26"/>
        <v>0</v>
      </c>
      <c r="AC47" s="33">
        <f t="shared" si="27"/>
        <v>0</v>
      </c>
      <c r="AD47" s="33">
        <f t="shared" si="28"/>
        <v>0</v>
      </c>
      <c r="AE47" s="33">
        <f t="shared" si="29"/>
        <v>0</v>
      </c>
      <c r="AF47" s="33">
        <f t="shared" si="30"/>
        <v>0</v>
      </c>
      <c r="AG47" s="33">
        <f t="shared" si="31"/>
        <v>0</v>
      </c>
      <c r="AH47" s="33">
        <f t="shared" si="32"/>
        <v>0</v>
      </c>
      <c r="AI47" s="28"/>
      <c r="AJ47" s="16">
        <f t="shared" si="33"/>
        <v>0</v>
      </c>
      <c r="AK47" s="16">
        <f t="shared" si="34"/>
        <v>0</v>
      </c>
      <c r="AL47" s="16">
        <f t="shared" si="35"/>
        <v>0</v>
      </c>
      <c r="AN47" s="33">
        <v>21</v>
      </c>
      <c r="AO47" s="33">
        <f>H47*0</f>
        <v>0</v>
      </c>
      <c r="AP47" s="33">
        <f>H47*(1-0)</f>
        <v>0</v>
      </c>
      <c r="AQ47" s="27" t="s">
        <v>7</v>
      </c>
      <c r="AV47" s="33">
        <f t="shared" si="36"/>
        <v>0</v>
      </c>
      <c r="AW47" s="33">
        <f t="shared" si="37"/>
        <v>0</v>
      </c>
      <c r="AX47" s="33">
        <f t="shared" si="38"/>
        <v>0</v>
      </c>
      <c r="AY47" s="34" t="s">
        <v>301</v>
      </c>
      <c r="AZ47" s="34" t="s">
        <v>310</v>
      </c>
      <c r="BA47" s="28" t="s">
        <v>312</v>
      </c>
      <c r="BC47" s="33">
        <f t="shared" si="39"/>
        <v>0</v>
      </c>
      <c r="BD47" s="33">
        <f t="shared" si="40"/>
        <v>0</v>
      </c>
      <c r="BE47" s="33">
        <v>0</v>
      </c>
      <c r="BF47" s="33">
        <f>47</f>
        <v>47</v>
      </c>
      <c r="BH47" s="16">
        <f t="shared" si="41"/>
        <v>0</v>
      </c>
      <c r="BI47" s="16">
        <f t="shared" si="42"/>
        <v>0</v>
      </c>
      <c r="BJ47" s="16">
        <f t="shared" si="43"/>
        <v>0</v>
      </c>
    </row>
    <row r="48" spans="1:62" x14ac:dyDescent="0.2">
      <c r="A48" s="6" t="s">
        <v>35</v>
      </c>
      <c r="B48" s="6" t="s">
        <v>115</v>
      </c>
      <c r="C48" s="107" t="s">
        <v>206</v>
      </c>
      <c r="D48" s="108"/>
      <c r="E48" s="108"/>
      <c r="F48" s="6" t="s">
        <v>264</v>
      </c>
      <c r="G48" s="71">
        <v>289.09699999999998</v>
      </c>
      <c r="H48" s="17">
        <v>0</v>
      </c>
      <c r="I48" s="17">
        <f t="shared" si="22"/>
        <v>0</v>
      </c>
      <c r="J48" s="17">
        <f t="shared" si="23"/>
        <v>0</v>
      </c>
      <c r="K48" s="17">
        <f t="shared" si="24"/>
        <v>0</v>
      </c>
      <c r="L48" s="29" t="s">
        <v>284</v>
      </c>
      <c r="Z48" s="33">
        <f t="shared" si="25"/>
        <v>0</v>
      </c>
      <c r="AB48" s="33">
        <f t="shared" si="26"/>
        <v>0</v>
      </c>
      <c r="AC48" s="33">
        <f t="shared" si="27"/>
        <v>0</v>
      </c>
      <c r="AD48" s="33">
        <f t="shared" si="28"/>
        <v>0</v>
      </c>
      <c r="AE48" s="33">
        <f t="shared" si="29"/>
        <v>0</v>
      </c>
      <c r="AF48" s="33">
        <f t="shared" si="30"/>
        <v>0</v>
      </c>
      <c r="AG48" s="33">
        <f t="shared" si="31"/>
        <v>0</v>
      </c>
      <c r="AH48" s="33">
        <f t="shared" si="32"/>
        <v>0</v>
      </c>
      <c r="AI48" s="28"/>
      <c r="AJ48" s="17">
        <f t="shared" si="33"/>
        <v>0</v>
      </c>
      <c r="AK48" s="17">
        <f t="shared" si="34"/>
        <v>0</v>
      </c>
      <c r="AL48" s="17">
        <f t="shared" si="35"/>
        <v>0</v>
      </c>
      <c r="AN48" s="33">
        <v>21</v>
      </c>
      <c r="AO48" s="33">
        <f>H48*1</f>
        <v>0</v>
      </c>
      <c r="AP48" s="33">
        <f>H48*(1-1)</f>
        <v>0</v>
      </c>
      <c r="AQ48" s="29" t="s">
        <v>7</v>
      </c>
      <c r="AV48" s="33">
        <f t="shared" si="36"/>
        <v>0</v>
      </c>
      <c r="AW48" s="33">
        <f t="shared" si="37"/>
        <v>0</v>
      </c>
      <c r="AX48" s="33">
        <f t="shared" si="38"/>
        <v>0</v>
      </c>
      <c r="AY48" s="34" t="s">
        <v>301</v>
      </c>
      <c r="AZ48" s="34" t="s">
        <v>310</v>
      </c>
      <c r="BA48" s="28" t="s">
        <v>312</v>
      </c>
      <c r="BC48" s="33">
        <f t="shared" si="39"/>
        <v>0</v>
      </c>
      <c r="BD48" s="33">
        <f t="shared" si="40"/>
        <v>0</v>
      </c>
      <c r="BE48" s="33">
        <v>0</v>
      </c>
      <c r="BF48" s="33">
        <f>48</f>
        <v>48</v>
      </c>
      <c r="BH48" s="17">
        <f t="shared" si="41"/>
        <v>0</v>
      </c>
      <c r="BI48" s="17">
        <f t="shared" si="42"/>
        <v>0</v>
      </c>
      <c r="BJ48" s="17">
        <f t="shared" si="43"/>
        <v>0</v>
      </c>
    </row>
    <row r="49" spans="1:62" x14ac:dyDescent="0.2">
      <c r="A49" s="4" t="s">
        <v>36</v>
      </c>
      <c r="B49" s="4" t="s">
        <v>116</v>
      </c>
      <c r="C49" s="103" t="s">
        <v>207</v>
      </c>
      <c r="D49" s="104"/>
      <c r="E49" s="104"/>
      <c r="F49" s="4" t="s">
        <v>264</v>
      </c>
      <c r="G49" s="68">
        <v>333.8</v>
      </c>
      <c r="H49" s="16">
        <v>0</v>
      </c>
      <c r="I49" s="16">
        <f t="shared" si="22"/>
        <v>0</v>
      </c>
      <c r="J49" s="16">
        <f t="shared" si="23"/>
        <v>0</v>
      </c>
      <c r="K49" s="16">
        <f t="shared" si="24"/>
        <v>0</v>
      </c>
      <c r="L49" s="27" t="s">
        <v>284</v>
      </c>
      <c r="Z49" s="33">
        <f t="shared" si="25"/>
        <v>0</v>
      </c>
      <c r="AB49" s="33">
        <f t="shared" si="26"/>
        <v>0</v>
      </c>
      <c r="AC49" s="33">
        <f t="shared" si="27"/>
        <v>0</v>
      </c>
      <c r="AD49" s="33">
        <f t="shared" si="28"/>
        <v>0</v>
      </c>
      <c r="AE49" s="33">
        <f t="shared" si="29"/>
        <v>0</v>
      </c>
      <c r="AF49" s="33">
        <f t="shared" si="30"/>
        <v>0</v>
      </c>
      <c r="AG49" s="33">
        <f t="shared" si="31"/>
        <v>0</v>
      </c>
      <c r="AH49" s="33">
        <f t="shared" si="32"/>
        <v>0</v>
      </c>
      <c r="AI49" s="28"/>
      <c r="AJ49" s="16">
        <f t="shared" si="33"/>
        <v>0</v>
      </c>
      <c r="AK49" s="16">
        <f t="shared" si="34"/>
        <v>0</v>
      </c>
      <c r="AL49" s="16">
        <f t="shared" si="35"/>
        <v>0</v>
      </c>
      <c r="AN49" s="33">
        <v>21</v>
      </c>
      <c r="AO49" s="33">
        <f>H49*0</f>
        <v>0</v>
      </c>
      <c r="AP49" s="33">
        <f>H49*(1-0)</f>
        <v>0</v>
      </c>
      <c r="AQ49" s="27" t="s">
        <v>7</v>
      </c>
      <c r="AV49" s="33">
        <f t="shared" si="36"/>
        <v>0</v>
      </c>
      <c r="AW49" s="33">
        <f t="shared" si="37"/>
        <v>0</v>
      </c>
      <c r="AX49" s="33">
        <f t="shared" si="38"/>
        <v>0</v>
      </c>
      <c r="AY49" s="34" t="s">
        <v>301</v>
      </c>
      <c r="AZ49" s="34" t="s">
        <v>310</v>
      </c>
      <c r="BA49" s="28" t="s">
        <v>312</v>
      </c>
      <c r="BC49" s="33">
        <f t="shared" si="39"/>
        <v>0</v>
      </c>
      <c r="BD49" s="33">
        <f t="shared" si="40"/>
        <v>0</v>
      </c>
      <c r="BE49" s="33">
        <v>0</v>
      </c>
      <c r="BF49" s="33">
        <f>49</f>
        <v>49</v>
      </c>
      <c r="BH49" s="16">
        <f t="shared" si="41"/>
        <v>0</v>
      </c>
      <c r="BI49" s="16">
        <f t="shared" si="42"/>
        <v>0</v>
      </c>
      <c r="BJ49" s="16">
        <f t="shared" si="43"/>
        <v>0</v>
      </c>
    </row>
    <row r="50" spans="1:62" x14ac:dyDescent="0.2">
      <c r="A50" s="4" t="s">
        <v>37</v>
      </c>
      <c r="B50" s="4" t="s">
        <v>117</v>
      </c>
      <c r="C50" s="103" t="s">
        <v>208</v>
      </c>
      <c r="D50" s="104"/>
      <c r="E50" s="104"/>
      <c r="F50" s="4" t="s">
        <v>267</v>
      </c>
      <c r="G50" s="68">
        <v>17</v>
      </c>
      <c r="H50" s="16">
        <v>0</v>
      </c>
      <c r="I50" s="16">
        <f t="shared" si="22"/>
        <v>0</v>
      </c>
      <c r="J50" s="16">
        <f t="shared" si="23"/>
        <v>0</v>
      </c>
      <c r="K50" s="16">
        <f t="shared" si="24"/>
        <v>0</v>
      </c>
      <c r="L50" s="27" t="s">
        <v>284</v>
      </c>
      <c r="Z50" s="33">
        <f t="shared" si="25"/>
        <v>0</v>
      </c>
      <c r="AB50" s="33">
        <f t="shared" si="26"/>
        <v>0</v>
      </c>
      <c r="AC50" s="33">
        <f t="shared" si="27"/>
        <v>0</v>
      </c>
      <c r="AD50" s="33">
        <f t="shared" si="28"/>
        <v>0</v>
      </c>
      <c r="AE50" s="33">
        <f t="shared" si="29"/>
        <v>0</v>
      </c>
      <c r="AF50" s="33">
        <f t="shared" si="30"/>
        <v>0</v>
      </c>
      <c r="AG50" s="33">
        <f t="shared" si="31"/>
        <v>0</v>
      </c>
      <c r="AH50" s="33">
        <f t="shared" si="32"/>
        <v>0</v>
      </c>
      <c r="AI50" s="28"/>
      <c r="AJ50" s="16">
        <f t="shared" si="33"/>
        <v>0</v>
      </c>
      <c r="AK50" s="16">
        <f t="shared" si="34"/>
        <v>0</v>
      </c>
      <c r="AL50" s="16">
        <f t="shared" si="35"/>
        <v>0</v>
      </c>
      <c r="AN50" s="33">
        <v>21</v>
      </c>
      <c r="AO50" s="33">
        <f>H50*0</f>
        <v>0</v>
      </c>
      <c r="AP50" s="33">
        <f>H50*(1-0)</f>
        <v>0</v>
      </c>
      <c r="AQ50" s="27" t="s">
        <v>7</v>
      </c>
      <c r="AV50" s="33">
        <f t="shared" si="36"/>
        <v>0</v>
      </c>
      <c r="AW50" s="33">
        <f t="shared" si="37"/>
        <v>0</v>
      </c>
      <c r="AX50" s="33">
        <f t="shared" si="38"/>
        <v>0</v>
      </c>
      <c r="AY50" s="34" t="s">
        <v>301</v>
      </c>
      <c r="AZ50" s="34" t="s">
        <v>310</v>
      </c>
      <c r="BA50" s="28" t="s">
        <v>312</v>
      </c>
      <c r="BC50" s="33">
        <f t="shared" si="39"/>
        <v>0</v>
      </c>
      <c r="BD50" s="33">
        <f t="shared" si="40"/>
        <v>0</v>
      </c>
      <c r="BE50" s="33">
        <v>0</v>
      </c>
      <c r="BF50" s="33">
        <f>50</f>
        <v>50</v>
      </c>
      <c r="BH50" s="16">
        <f t="shared" si="41"/>
        <v>0</v>
      </c>
      <c r="BI50" s="16">
        <f t="shared" si="42"/>
        <v>0</v>
      </c>
      <c r="BJ50" s="16">
        <f t="shared" si="43"/>
        <v>0</v>
      </c>
    </row>
    <row r="51" spans="1:62" x14ac:dyDescent="0.2">
      <c r="A51" s="6" t="s">
        <v>38</v>
      </c>
      <c r="B51" s="6" t="s">
        <v>118</v>
      </c>
      <c r="C51" s="107" t="s">
        <v>209</v>
      </c>
      <c r="D51" s="108"/>
      <c r="E51" s="108"/>
      <c r="F51" s="6" t="s">
        <v>267</v>
      </c>
      <c r="G51" s="71">
        <v>17</v>
      </c>
      <c r="H51" s="17">
        <v>0</v>
      </c>
      <c r="I51" s="17">
        <f t="shared" si="22"/>
        <v>0</v>
      </c>
      <c r="J51" s="17">
        <f t="shared" si="23"/>
        <v>0</v>
      </c>
      <c r="K51" s="17">
        <f t="shared" si="24"/>
        <v>0</v>
      </c>
      <c r="L51" s="29" t="s">
        <v>284</v>
      </c>
      <c r="Z51" s="33">
        <f t="shared" si="25"/>
        <v>0</v>
      </c>
      <c r="AB51" s="33">
        <f t="shared" si="26"/>
        <v>0</v>
      </c>
      <c r="AC51" s="33">
        <f t="shared" si="27"/>
        <v>0</v>
      </c>
      <c r="AD51" s="33">
        <f t="shared" si="28"/>
        <v>0</v>
      </c>
      <c r="AE51" s="33">
        <f t="shared" si="29"/>
        <v>0</v>
      </c>
      <c r="AF51" s="33">
        <f t="shared" si="30"/>
        <v>0</v>
      </c>
      <c r="AG51" s="33">
        <f t="shared" si="31"/>
        <v>0</v>
      </c>
      <c r="AH51" s="33">
        <f t="shared" si="32"/>
        <v>0</v>
      </c>
      <c r="AI51" s="28"/>
      <c r="AJ51" s="17">
        <f t="shared" si="33"/>
        <v>0</v>
      </c>
      <c r="AK51" s="17">
        <f t="shared" si="34"/>
        <v>0</v>
      </c>
      <c r="AL51" s="17">
        <f t="shared" si="35"/>
        <v>0</v>
      </c>
      <c r="AN51" s="33">
        <v>21</v>
      </c>
      <c r="AO51" s="33">
        <f>H51*1</f>
        <v>0</v>
      </c>
      <c r="AP51" s="33">
        <f>H51*(1-1)</f>
        <v>0</v>
      </c>
      <c r="AQ51" s="29" t="s">
        <v>7</v>
      </c>
      <c r="AV51" s="33">
        <f t="shared" si="36"/>
        <v>0</v>
      </c>
      <c r="AW51" s="33">
        <f t="shared" si="37"/>
        <v>0</v>
      </c>
      <c r="AX51" s="33">
        <f t="shared" si="38"/>
        <v>0</v>
      </c>
      <c r="AY51" s="34" t="s">
        <v>301</v>
      </c>
      <c r="AZ51" s="34" t="s">
        <v>310</v>
      </c>
      <c r="BA51" s="28" t="s">
        <v>312</v>
      </c>
      <c r="BC51" s="33">
        <f t="shared" si="39"/>
        <v>0</v>
      </c>
      <c r="BD51" s="33">
        <f t="shared" si="40"/>
        <v>0</v>
      </c>
      <c r="BE51" s="33">
        <v>0</v>
      </c>
      <c r="BF51" s="33">
        <f>51</f>
        <v>51</v>
      </c>
      <c r="BH51" s="17">
        <f t="shared" si="41"/>
        <v>0</v>
      </c>
      <c r="BI51" s="17">
        <f t="shared" si="42"/>
        <v>0</v>
      </c>
      <c r="BJ51" s="17">
        <f t="shared" si="43"/>
        <v>0</v>
      </c>
    </row>
    <row r="52" spans="1:62" x14ac:dyDescent="0.2">
      <c r="A52" s="4" t="s">
        <v>39</v>
      </c>
      <c r="B52" s="4" t="s">
        <v>119</v>
      </c>
      <c r="C52" s="103" t="s">
        <v>210</v>
      </c>
      <c r="D52" s="104"/>
      <c r="E52" s="104"/>
      <c r="F52" s="4" t="s">
        <v>267</v>
      </c>
      <c r="G52" s="68">
        <v>16</v>
      </c>
      <c r="H52" s="16">
        <v>0</v>
      </c>
      <c r="I52" s="16">
        <f t="shared" si="22"/>
        <v>0</v>
      </c>
      <c r="J52" s="16">
        <f t="shared" si="23"/>
        <v>0</v>
      </c>
      <c r="K52" s="16">
        <f t="shared" si="24"/>
        <v>0</v>
      </c>
      <c r="L52" s="27" t="s">
        <v>284</v>
      </c>
      <c r="Z52" s="33">
        <f t="shared" si="25"/>
        <v>0</v>
      </c>
      <c r="AB52" s="33">
        <f t="shared" si="26"/>
        <v>0</v>
      </c>
      <c r="AC52" s="33">
        <f t="shared" si="27"/>
        <v>0</v>
      </c>
      <c r="AD52" s="33">
        <f t="shared" si="28"/>
        <v>0</v>
      </c>
      <c r="AE52" s="33">
        <f t="shared" si="29"/>
        <v>0</v>
      </c>
      <c r="AF52" s="33">
        <f t="shared" si="30"/>
        <v>0</v>
      </c>
      <c r="AG52" s="33">
        <f t="shared" si="31"/>
        <v>0</v>
      </c>
      <c r="AH52" s="33">
        <f t="shared" si="32"/>
        <v>0</v>
      </c>
      <c r="AI52" s="28"/>
      <c r="AJ52" s="16">
        <f t="shared" si="33"/>
        <v>0</v>
      </c>
      <c r="AK52" s="16">
        <f t="shared" si="34"/>
        <v>0</v>
      </c>
      <c r="AL52" s="16">
        <f t="shared" si="35"/>
        <v>0</v>
      </c>
      <c r="AN52" s="33">
        <v>21</v>
      </c>
      <c r="AO52" s="33">
        <f>H52*0</f>
        <v>0</v>
      </c>
      <c r="AP52" s="33">
        <f>H52*(1-0)</f>
        <v>0</v>
      </c>
      <c r="AQ52" s="27" t="s">
        <v>7</v>
      </c>
      <c r="AV52" s="33">
        <f t="shared" si="36"/>
        <v>0</v>
      </c>
      <c r="AW52" s="33">
        <f t="shared" si="37"/>
        <v>0</v>
      </c>
      <c r="AX52" s="33">
        <f t="shared" si="38"/>
        <v>0</v>
      </c>
      <c r="AY52" s="34" t="s">
        <v>301</v>
      </c>
      <c r="AZ52" s="34" t="s">
        <v>310</v>
      </c>
      <c r="BA52" s="28" t="s">
        <v>312</v>
      </c>
      <c r="BC52" s="33">
        <f t="shared" si="39"/>
        <v>0</v>
      </c>
      <c r="BD52" s="33">
        <f t="shared" si="40"/>
        <v>0</v>
      </c>
      <c r="BE52" s="33">
        <v>0</v>
      </c>
      <c r="BF52" s="33">
        <f>52</f>
        <v>52</v>
      </c>
      <c r="BH52" s="16">
        <f t="shared" si="41"/>
        <v>0</v>
      </c>
      <c r="BI52" s="16">
        <f t="shared" si="42"/>
        <v>0</v>
      </c>
      <c r="BJ52" s="16">
        <f t="shared" si="43"/>
        <v>0</v>
      </c>
    </row>
    <row r="53" spans="1:62" x14ac:dyDescent="0.2">
      <c r="A53" s="6" t="s">
        <v>40</v>
      </c>
      <c r="B53" s="6" t="s">
        <v>120</v>
      </c>
      <c r="C53" s="107" t="s">
        <v>211</v>
      </c>
      <c r="D53" s="108"/>
      <c r="E53" s="108"/>
      <c r="F53" s="6" t="s">
        <v>267</v>
      </c>
      <c r="G53" s="71">
        <v>4</v>
      </c>
      <c r="H53" s="17">
        <v>0</v>
      </c>
      <c r="I53" s="17">
        <f t="shared" si="22"/>
        <v>0</v>
      </c>
      <c r="J53" s="17">
        <f t="shared" si="23"/>
        <v>0</v>
      </c>
      <c r="K53" s="17">
        <f t="shared" si="24"/>
        <v>0</v>
      </c>
      <c r="L53" s="29" t="s">
        <v>284</v>
      </c>
      <c r="Z53" s="33">
        <f t="shared" si="25"/>
        <v>0</v>
      </c>
      <c r="AB53" s="33">
        <f t="shared" si="26"/>
        <v>0</v>
      </c>
      <c r="AC53" s="33">
        <f t="shared" si="27"/>
        <v>0</v>
      </c>
      <c r="AD53" s="33">
        <f t="shared" si="28"/>
        <v>0</v>
      </c>
      <c r="AE53" s="33">
        <f t="shared" si="29"/>
        <v>0</v>
      </c>
      <c r="AF53" s="33">
        <f t="shared" si="30"/>
        <v>0</v>
      </c>
      <c r="AG53" s="33">
        <f t="shared" si="31"/>
        <v>0</v>
      </c>
      <c r="AH53" s="33">
        <f t="shared" si="32"/>
        <v>0</v>
      </c>
      <c r="AI53" s="28"/>
      <c r="AJ53" s="17">
        <f t="shared" si="33"/>
        <v>0</v>
      </c>
      <c r="AK53" s="17">
        <f t="shared" si="34"/>
        <v>0</v>
      </c>
      <c r="AL53" s="17">
        <f t="shared" si="35"/>
        <v>0</v>
      </c>
      <c r="AN53" s="33">
        <v>21</v>
      </c>
      <c r="AO53" s="33">
        <f>H53*1</f>
        <v>0</v>
      </c>
      <c r="AP53" s="33">
        <f>H53*(1-1)</f>
        <v>0</v>
      </c>
      <c r="AQ53" s="29" t="s">
        <v>7</v>
      </c>
      <c r="AV53" s="33">
        <f t="shared" si="36"/>
        <v>0</v>
      </c>
      <c r="AW53" s="33">
        <f t="shared" si="37"/>
        <v>0</v>
      </c>
      <c r="AX53" s="33">
        <f t="shared" si="38"/>
        <v>0</v>
      </c>
      <c r="AY53" s="34" t="s">
        <v>301</v>
      </c>
      <c r="AZ53" s="34" t="s">
        <v>310</v>
      </c>
      <c r="BA53" s="28" t="s">
        <v>312</v>
      </c>
      <c r="BC53" s="33">
        <f t="shared" si="39"/>
        <v>0</v>
      </c>
      <c r="BD53" s="33">
        <f t="shared" si="40"/>
        <v>0</v>
      </c>
      <c r="BE53" s="33">
        <v>0</v>
      </c>
      <c r="BF53" s="33">
        <f>53</f>
        <v>53</v>
      </c>
      <c r="BH53" s="17">
        <f t="shared" si="41"/>
        <v>0</v>
      </c>
      <c r="BI53" s="17">
        <f t="shared" si="42"/>
        <v>0</v>
      </c>
      <c r="BJ53" s="17">
        <f t="shared" si="43"/>
        <v>0</v>
      </c>
    </row>
    <row r="54" spans="1:62" x14ac:dyDescent="0.2">
      <c r="A54" s="6" t="s">
        <v>41</v>
      </c>
      <c r="B54" s="6" t="s">
        <v>121</v>
      </c>
      <c r="C54" s="107" t="s">
        <v>212</v>
      </c>
      <c r="D54" s="108"/>
      <c r="E54" s="108"/>
      <c r="F54" s="6" t="s">
        <v>267</v>
      </c>
      <c r="G54" s="71">
        <v>4</v>
      </c>
      <c r="H54" s="17">
        <v>0</v>
      </c>
      <c r="I54" s="17">
        <f t="shared" si="22"/>
        <v>0</v>
      </c>
      <c r="J54" s="17">
        <f t="shared" si="23"/>
        <v>0</v>
      </c>
      <c r="K54" s="17">
        <f t="shared" si="24"/>
        <v>0</v>
      </c>
      <c r="L54" s="29" t="s">
        <v>284</v>
      </c>
      <c r="Z54" s="33">
        <f t="shared" si="25"/>
        <v>0</v>
      </c>
      <c r="AB54" s="33">
        <f t="shared" si="26"/>
        <v>0</v>
      </c>
      <c r="AC54" s="33">
        <f t="shared" si="27"/>
        <v>0</v>
      </c>
      <c r="AD54" s="33">
        <f t="shared" si="28"/>
        <v>0</v>
      </c>
      <c r="AE54" s="33">
        <f t="shared" si="29"/>
        <v>0</v>
      </c>
      <c r="AF54" s="33">
        <f t="shared" si="30"/>
        <v>0</v>
      </c>
      <c r="AG54" s="33">
        <f t="shared" si="31"/>
        <v>0</v>
      </c>
      <c r="AH54" s="33">
        <f t="shared" si="32"/>
        <v>0</v>
      </c>
      <c r="AI54" s="28"/>
      <c r="AJ54" s="17">
        <f t="shared" si="33"/>
        <v>0</v>
      </c>
      <c r="AK54" s="17">
        <f t="shared" si="34"/>
        <v>0</v>
      </c>
      <c r="AL54" s="17">
        <f t="shared" si="35"/>
        <v>0</v>
      </c>
      <c r="AN54" s="33">
        <v>21</v>
      </c>
      <c r="AO54" s="33">
        <f>H54*1</f>
        <v>0</v>
      </c>
      <c r="AP54" s="33">
        <f>H54*(1-1)</f>
        <v>0</v>
      </c>
      <c r="AQ54" s="29" t="s">
        <v>7</v>
      </c>
      <c r="AV54" s="33">
        <f t="shared" si="36"/>
        <v>0</v>
      </c>
      <c r="AW54" s="33">
        <f t="shared" si="37"/>
        <v>0</v>
      </c>
      <c r="AX54" s="33">
        <f t="shared" si="38"/>
        <v>0</v>
      </c>
      <c r="AY54" s="34" t="s">
        <v>301</v>
      </c>
      <c r="AZ54" s="34" t="s">
        <v>310</v>
      </c>
      <c r="BA54" s="28" t="s">
        <v>312</v>
      </c>
      <c r="BC54" s="33">
        <f t="shared" si="39"/>
        <v>0</v>
      </c>
      <c r="BD54" s="33">
        <f t="shared" si="40"/>
        <v>0</v>
      </c>
      <c r="BE54" s="33">
        <v>0</v>
      </c>
      <c r="BF54" s="33">
        <f>54</f>
        <v>54</v>
      </c>
      <c r="BH54" s="17">
        <f t="shared" si="41"/>
        <v>0</v>
      </c>
      <c r="BI54" s="17">
        <f t="shared" si="42"/>
        <v>0</v>
      </c>
      <c r="BJ54" s="17">
        <f t="shared" si="43"/>
        <v>0</v>
      </c>
    </row>
    <row r="55" spans="1:62" x14ac:dyDescent="0.2">
      <c r="A55" s="6" t="s">
        <v>42</v>
      </c>
      <c r="B55" s="6" t="s">
        <v>122</v>
      </c>
      <c r="C55" s="107" t="s">
        <v>213</v>
      </c>
      <c r="D55" s="108"/>
      <c r="E55" s="108"/>
      <c r="F55" s="6" t="s">
        <v>267</v>
      </c>
      <c r="G55" s="71">
        <v>4</v>
      </c>
      <c r="H55" s="17">
        <v>0</v>
      </c>
      <c r="I55" s="17">
        <f t="shared" si="22"/>
        <v>0</v>
      </c>
      <c r="J55" s="17">
        <f t="shared" si="23"/>
        <v>0</v>
      </c>
      <c r="K55" s="17">
        <f t="shared" si="24"/>
        <v>0</v>
      </c>
      <c r="L55" s="29" t="s">
        <v>284</v>
      </c>
      <c r="Z55" s="33">
        <f t="shared" si="25"/>
        <v>0</v>
      </c>
      <c r="AB55" s="33">
        <f t="shared" si="26"/>
        <v>0</v>
      </c>
      <c r="AC55" s="33">
        <f t="shared" si="27"/>
        <v>0</v>
      </c>
      <c r="AD55" s="33">
        <f t="shared" si="28"/>
        <v>0</v>
      </c>
      <c r="AE55" s="33">
        <f t="shared" si="29"/>
        <v>0</v>
      </c>
      <c r="AF55" s="33">
        <f t="shared" si="30"/>
        <v>0</v>
      </c>
      <c r="AG55" s="33">
        <f t="shared" si="31"/>
        <v>0</v>
      </c>
      <c r="AH55" s="33">
        <f t="shared" si="32"/>
        <v>0</v>
      </c>
      <c r="AI55" s="28"/>
      <c r="AJ55" s="17">
        <f t="shared" si="33"/>
        <v>0</v>
      </c>
      <c r="AK55" s="17">
        <f t="shared" si="34"/>
        <v>0</v>
      </c>
      <c r="AL55" s="17">
        <f t="shared" si="35"/>
        <v>0</v>
      </c>
      <c r="AN55" s="33">
        <v>21</v>
      </c>
      <c r="AO55" s="33">
        <f>H55*1</f>
        <v>0</v>
      </c>
      <c r="AP55" s="33">
        <f>H55*(1-1)</f>
        <v>0</v>
      </c>
      <c r="AQ55" s="29" t="s">
        <v>7</v>
      </c>
      <c r="AV55" s="33">
        <f t="shared" si="36"/>
        <v>0</v>
      </c>
      <c r="AW55" s="33">
        <f t="shared" si="37"/>
        <v>0</v>
      </c>
      <c r="AX55" s="33">
        <f t="shared" si="38"/>
        <v>0</v>
      </c>
      <c r="AY55" s="34" t="s">
        <v>301</v>
      </c>
      <c r="AZ55" s="34" t="s">
        <v>310</v>
      </c>
      <c r="BA55" s="28" t="s">
        <v>312</v>
      </c>
      <c r="BC55" s="33">
        <f t="shared" si="39"/>
        <v>0</v>
      </c>
      <c r="BD55" s="33">
        <f t="shared" si="40"/>
        <v>0</v>
      </c>
      <c r="BE55" s="33">
        <v>0</v>
      </c>
      <c r="BF55" s="33">
        <f>55</f>
        <v>55</v>
      </c>
      <c r="BH55" s="17">
        <f t="shared" si="41"/>
        <v>0</v>
      </c>
      <c r="BI55" s="17">
        <f t="shared" si="42"/>
        <v>0</v>
      </c>
      <c r="BJ55" s="17">
        <f t="shared" si="43"/>
        <v>0</v>
      </c>
    </row>
    <row r="56" spans="1:62" x14ac:dyDescent="0.2">
      <c r="A56" s="6" t="s">
        <v>43</v>
      </c>
      <c r="B56" s="6" t="s">
        <v>123</v>
      </c>
      <c r="C56" s="107" t="s">
        <v>214</v>
      </c>
      <c r="D56" s="108"/>
      <c r="E56" s="108"/>
      <c r="F56" s="6" t="s">
        <v>267</v>
      </c>
      <c r="G56" s="71">
        <v>4</v>
      </c>
      <c r="H56" s="17">
        <v>0</v>
      </c>
      <c r="I56" s="17">
        <f t="shared" si="22"/>
        <v>0</v>
      </c>
      <c r="J56" s="17">
        <f t="shared" si="23"/>
        <v>0</v>
      </c>
      <c r="K56" s="17">
        <f t="shared" si="24"/>
        <v>0</v>
      </c>
      <c r="L56" s="29" t="s">
        <v>284</v>
      </c>
      <c r="Z56" s="33">
        <f t="shared" si="25"/>
        <v>0</v>
      </c>
      <c r="AB56" s="33">
        <f t="shared" si="26"/>
        <v>0</v>
      </c>
      <c r="AC56" s="33">
        <f t="shared" si="27"/>
        <v>0</v>
      </c>
      <c r="AD56" s="33">
        <f t="shared" si="28"/>
        <v>0</v>
      </c>
      <c r="AE56" s="33">
        <f t="shared" si="29"/>
        <v>0</v>
      </c>
      <c r="AF56" s="33">
        <f t="shared" si="30"/>
        <v>0</v>
      </c>
      <c r="AG56" s="33">
        <f t="shared" si="31"/>
        <v>0</v>
      </c>
      <c r="AH56" s="33">
        <f t="shared" si="32"/>
        <v>0</v>
      </c>
      <c r="AI56" s="28"/>
      <c r="AJ56" s="17">
        <f t="shared" si="33"/>
        <v>0</v>
      </c>
      <c r="AK56" s="17">
        <f t="shared" si="34"/>
        <v>0</v>
      </c>
      <c r="AL56" s="17">
        <f t="shared" si="35"/>
        <v>0</v>
      </c>
      <c r="AN56" s="33">
        <v>21</v>
      </c>
      <c r="AO56" s="33">
        <f>H56*1</f>
        <v>0</v>
      </c>
      <c r="AP56" s="33">
        <f>H56*(1-1)</f>
        <v>0</v>
      </c>
      <c r="AQ56" s="29" t="s">
        <v>7</v>
      </c>
      <c r="AV56" s="33">
        <f t="shared" si="36"/>
        <v>0</v>
      </c>
      <c r="AW56" s="33">
        <f t="shared" si="37"/>
        <v>0</v>
      </c>
      <c r="AX56" s="33">
        <f t="shared" si="38"/>
        <v>0</v>
      </c>
      <c r="AY56" s="34" t="s">
        <v>301</v>
      </c>
      <c r="AZ56" s="34" t="s">
        <v>310</v>
      </c>
      <c r="BA56" s="28" t="s">
        <v>312</v>
      </c>
      <c r="BC56" s="33">
        <f t="shared" si="39"/>
        <v>0</v>
      </c>
      <c r="BD56" s="33">
        <f t="shared" si="40"/>
        <v>0</v>
      </c>
      <c r="BE56" s="33">
        <v>0</v>
      </c>
      <c r="BF56" s="33">
        <f>56</f>
        <v>56</v>
      </c>
      <c r="BH56" s="17">
        <f t="shared" si="41"/>
        <v>0</v>
      </c>
      <c r="BI56" s="17">
        <f t="shared" si="42"/>
        <v>0</v>
      </c>
      <c r="BJ56" s="17">
        <f t="shared" si="43"/>
        <v>0</v>
      </c>
    </row>
    <row r="57" spans="1:62" x14ac:dyDescent="0.2">
      <c r="A57" s="4" t="s">
        <v>44</v>
      </c>
      <c r="B57" s="4" t="s">
        <v>124</v>
      </c>
      <c r="C57" s="103" t="s">
        <v>215</v>
      </c>
      <c r="D57" s="104"/>
      <c r="E57" s="104"/>
      <c r="F57" s="4" t="s">
        <v>267</v>
      </c>
      <c r="G57" s="68">
        <v>17</v>
      </c>
      <c r="H57" s="16">
        <v>0</v>
      </c>
      <c r="I57" s="16">
        <f t="shared" si="22"/>
        <v>0</v>
      </c>
      <c r="J57" s="16">
        <f t="shared" si="23"/>
        <v>0</v>
      </c>
      <c r="K57" s="16">
        <f t="shared" si="24"/>
        <v>0</v>
      </c>
      <c r="L57" s="27" t="s">
        <v>284</v>
      </c>
      <c r="Z57" s="33">
        <f t="shared" si="25"/>
        <v>0</v>
      </c>
      <c r="AB57" s="33">
        <f t="shared" si="26"/>
        <v>0</v>
      </c>
      <c r="AC57" s="33">
        <f t="shared" si="27"/>
        <v>0</v>
      </c>
      <c r="AD57" s="33">
        <f t="shared" si="28"/>
        <v>0</v>
      </c>
      <c r="AE57" s="33">
        <f t="shared" si="29"/>
        <v>0</v>
      </c>
      <c r="AF57" s="33">
        <f t="shared" si="30"/>
        <v>0</v>
      </c>
      <c r="AG57" s="33">
        <f t="shared" si="31"/>
        <v>0</v>
      </c>
      <c r="AH57" s="33">
        <f t="shared" si="32"/>
        <v>0</v>
      </c>
      <c r="AI57" s="28"/>
      <c r="AJ57" s="16">
        <f t="shared" si="33"/>
        <v>0</v>
      </c>
      <c r="AK57" s="16">
        <f t="shared" si="34"/>
        <v>0</v>
      </c>
      <c r="AL57" s="16">
        <f t="shared" si="35"/>
        <v>0</v>
      </c>
      <c r="AN57" s="33">
        <v>21</v>
      </c>
      <c r="AO57" s="33">
        <f>H57*0.00925700365408039</f>
        <v>0</v>
      </c>
      <c r="AP57" s="33">
        <f>H57*(1-0.00925700365408039)</f>
        <v>0</v>
      </c>
      <c r="AQ57" s="27" t="s">
        <v>7</v>
      </c>
      <c r="AV57" s="33">
        <f t="shared" si="36"/>
        <v>0</v>
      </c>
      <c r="AW57" s="33">
        <f t="shared" si="37"/>
        <v>0</v>
      </c>
      <c r="AX57" s="33">
        <f t="shared" si="38"/>
        <v>0</v>
      </c>
      <c r="AY57" s="34" t="s">
        <v>301</v>
      </c>
      <c r="AZ57" s="34" t="s">
        <v>310</v>
      </c>
      <c r="BA57" s="28" t="s">
        <v>312</v>
      </c>
      <c r="BC57" s="33">
        <f t="shared" si="39"/>
        <v>0</v>
      </c>
      <c r="BD57" s="33">
        <f t="shared" si="40"/>
        <v>0</v>
      </c>
      <c r="BE57" s="33">
        <v>0</v>
      </c>
      <c r="BF57" s="33">
        <f>57</f>
        <v>57</v>
      </c>
      <c r="BH57" s="16">
        <f t="shared" si="41"/>
        <v>0</v>
      </c>
      <c r="BI57" s="16">
        <f t="shared" si="42"/>
        <v>0</v>
      </c>
      <c r="BJ57" s="16">
        <f t="shared" si="43"/>
        <v>0</v>
      </c>
    </row>
    <row r="58" spans="1:62" x14ac:dyDescent="0.2">
      <c r="A58" s="5"/>
      <c r="B58" s="13" t="s">
        <v>125</v>
      </c>
      <c r="C58" s="105" t="s">
        <v>216</v>
      </c>
      <c r="D58" s="106"/>
      <c r="E58" s="106"/>
      <c r="F58" s="5" t="s">
        <v>6</v>
      </c>
      <c r="G58" s="5" t="s">
        <v>6</v>
      </c>
      <c r="H58" s="5" t="s">
        <v>6</v>
      </c>
      <c r="I58" s="36">
        <f>SUM(I59:I88)</f>
        <v>0</v>
      </c>
      <c r="J58" s="36">
        <f>SUM(J59:J88)</f>
        <v>0</v>
      </c>
      <c r="K58" s="36">
        <f>SUM(K59:K88)</f>
        <v>0</v>
      </c>
      <c r="L58" s="28"/>
      <c r="AI58" s="28"/>
      <c r="AS58" s="36">
        <f>SUM(AJ59:AJ88)</f>
        <v>0</v>
      </c>
      <c r="AT58" s="36">
        <f>SUM(AK59:AK88)</f>
        <v>0</v>
      </c>
      <c r="AU58" s="36">
        <f>SUM(AL59:AL88)</f>
        <v>0</v>
      </c>
    </row>
    <row r="59" spans="1:62" x14ac:dyDescent="0.2">
      <c r="A59" s="4" t="s">
        <v>45</v>
      </c>
      <c r="B59" s="4" t="s">
        <v>126</v>
      </c>
      <c r="C59" s="103" t="s">
        <v>217</v>
      </c>
      <c r="D59" s="104"/>
      <c r="E59" s="104"/>
      <c r="F59" s="4" t="s">
        <v>267</v>
      </c>
      <c r="G59" s="68">
        <v>17</v>
      </c>
      <c r="H59" s="16">
        <v>0</v>
      </c>
      <c r="I59" s="16">
        <f t="shared" ref="I59:I88" si="44">G59*AO59</f>
        <v>0</v>
      </c>
      <c r="J59" s="16">
        <f t="shared" ref="J59:J88" si="45">G59*AP59</f>
        <v>0</v>
      </c>
      <c r="K59" s="16">
        <f t="shared" ref="K59:K88" si="46">G59*H59</f>
        <v>0</v>
      </c>
      <c r="L59" s="27" t="s">
        <v>284</v>
      </c>
      <c r="Z59" s="33">
        <f t="shared" ref="Z59:Z88" si="47">IF(AQ59="5",BJ59,0)</f>
        <v>0</v>
      </c>
      <c r="AB59" s="33">
        <f t="shared" ref="AB59:AB88" si="48">IF(AQ59="1",BH59,0)</f>
        <v>0</v>
      </c>
      <c r="AC59" s="33">
        <f t="shared" ref="AC59:AC88" si="49">IF(AQ59="1",BI59,0)</f>
        <v>0</v>
      </c>
      <c r="AD59" s="33">
        <f t="shared" ref="AD59:AD88" si="50">IF(AQ59="7",BH59,0)</f>
        <v>0</v>
      </c>
      <c r="AE59" s="33">
        <f t="shared" ref="AE59:AE88" si="51">IF(AQ59="7",BI59,0)</f>
        <v>0</v>
      </c>
      <c r="AF59" s="33">
        <f t="shared" ref="AF59:AF88" si="52">IF(AQ59="2",BH59,0)</f>
        <v>0</v>
      </c>
      <c r="AG59" s="33">
        <f t="shared" ref="AG59:AG88" si="53">IF(AQ59="2",BI59,0)</f>
        <v>0</v>
      </c>
      <c r="AH59" s="33">
        <f t="shared" ref="AH59:AH88" si="54">IF(AQ59="0",BJ59,0)</f>
        <v>0</v>
      </c>
      <c r="AI59" s="28"/>
      <c r="AJ59" s="16">
        <f t="shared" ref="AJ59:AJ88" si="55">IF(AN59=0,K59,0)</f>
        <v>0</v>
      </c>
      <c r="AK59" s="16">
        <f t="shared" ref="AK59:AK88" si="56">IF(AN59=15,K59,0)</f>
        <v>0</v>
      </c>
      <c r="AL59" s="16">
        <f t="shared" ref="AL59:AL88" si="57">IF(AN59=21,K59,0)</f>
        <v>0</v>
      </c>
      <c r="AN59" s="33">
        <v>21</v>
      </c>
      <c r="AO59" s="33">
        <f>H59*0.106147260273973</f>
        <v>0</v>
      </c>
      <c r="AP59" s="33">
        <f>H59*(1-0.106147260273973)</f>
        <v>0</v>
      </c>
      <c r="AQ59" s="27" t="s">
        <v>7</v>
      </c>
      <c r="AV59" s="33">
        <f t="shared" ref="AV59:AV88" si="58">AW59+AX59</f>
        <v>0</v>
      </c>
      <c r="AW59" s="33">
        <f t="shared" ref="AW59:AW88" si="59">G59*AO59</f>
        <v>0</v>
      </c>
      <c r="AX59" s="33">
        <f t="shared" ref="AX59:AX88" si="60">G59*AP59</f>
        <v>0</v>
      </c>
      <c r="AY59" s="34" t="s">
        <v>302</v>
      </c>
      <c r="AZ59" s="34" t="s">
        <v>310</v>
      </c>
      <c r="BA59" s="28" t="s">
        <v>312</v>
      </c>
      <c r="BC59" s="33">
        <f t="shared" ref="BC59:BC88" si="61">AW59+AX59</f>
        <v>0</v>
      </c>
      <c r="BD59" s="33">
        <f t="shared" ref="BD59:BD88" si="62">H59/(100-BE59)*100</f>
        <v>0</v>
      </c>
      <c r="BE59" s="33">
        <v>0</v>
      </c>
      <c r="BF59" s="33">
        <f>59</f>
        <v>59</v>
      </c>
      <c r="BH59" s="16">
        <f t="shared" ref="BH59:BH88" si="63">G59*AO59</f>
        <v>0</v>
      </c>
      <c r="BI59" s="16">
        <f t="shared" ref="BI59:BI88" si="64">G59*AP59</f>
        <v>0</v>
      </c>
      <c r="BJ59" s="16">
        <f t="shared" ref="BJ59:BJ88" si="65">G59*H59</f>
        <v>0</v>
      </c>
    </row>
    <row r="60" spans="1:62" x14ac:dyDescent="0.2">
      <c r="A60" s="6" t="s">
        <v>46</v>
      </c>
      <c r="B60" s="6" t="s">
        <v>127</v>
      </c>
      <c r="C60" s="107" t="s">
        <v>218</v>
      </c>
      <c r="D60" s="108"/>
      <c r="E60" s="108"/>
      <c r="F60" s="6" t="s">
        <v>267</v>
      </c>
      <c r="G60" s="71">
        <v>17</v>
      </c>
      <c r="H60" s="17">
        <v>0</v>
      </c>
      <c r="I60" s="17">
        <f t="shared" si="44"/>
        <v>0</v>
      </c>
      <c r="J60" s="17">
        <f t="shared" si="45"/>
        <v>0</v>
      </c>
      <c r="K60" s="17">
        <f t="shared" si="46"/>
        <v>0</v>
      </c>
      <c r="L60" s="29" t="s">
        <v>284</v>
      </c>
      <c r="Z60" s="33">
        <f t="shared" si="47"/>
        <v>0</v>
      </c>
      <c r="AB60" s="33">
        <f t="shared" si="48"/>
        <v>0</v>
      </c>
      <c r="AC60" s="33">
        <f t="shared" si="49"/>
        <v>0</v>
      </c>
      <c r="AD60" s="33">
        <f t="shared" si="50"/>
        <v>0</v>
      </c>
      <c r="AE60" s="33">
        <f t="shared" si="51"/>
        <v>0</v>
      </c>
      <c r="AF60" s="33">
        <f t="shared" si="52"/>
        <v>0</v>
      </c>
      <c r="AG60" s="33">
        <f t="shared" si="53"/>
        <v>0</v>
      </c>
      <c r="AH60" s="33">
        <f t="shared" si="54"/>
        <v>0</v>
      </c>
      <c r="AI60" s="28"/>
      <c r="AJ60" s="17">
        <f t="shared" si="55"/>
        <v>0</v>
      </c>
      <c r="AK60" s="17">
        <f t="shared" si="56"/>
        <v>0</v>
      </c>
      <c r="AL60" s="17">
        <f t="shared" si="57"/>
        <v>0</v>
      </c>
      <c r="AN60" s="33">
        <v>21</v>
      </c>
      <c r="AO60" s="33">
        <f>H60*1</f>
        <v>0</v>
      </c>
      <c r="AP60" s="33">
        <f>H60*(1-1)</f>
        <v>0</v>
      </c>
      <c r="AQ60" s="29" t="s">
        <v>7</v>
      </c>
      <c r="AV60" s="33">
        <f t="shared" si="58"/>
        <v>0</v>
      </c>
      <c r="AW60" s="33">
        <f t="shared" si="59"/>
        <v>0</v>
      </c>
      <c r="AX60" s="33">
        <f t="shared" si="60"/>
        <v>0</v>
      </c>
      <c r="AY60" s="34" t="s">
        <v>302</v>
      </c>
      <c r="AZ60" s="34" t="s">
        <v>310</v>
      </c>
      <c r="BA60" s="28" t="s">
        <v>312</v>
      </c>
      <c r="BC60" s="33">
        <f t="shared" si="61"/>
        <v>0</v>
      </c>
      <c r="BD60" s="33">
        <f t="shared" si="62"/>
        <v>0</v>
      </c>
      <c r="BE60" s="33">
        <v>0</v>
      </c>
      <c r="BF60" s="33">
        <f>60</f>
        <v>60</v>
      </c>
      <c r="BH60" s="17">
        <f t="shared" si="63"/>
        <v>0</v>
      </c>
      <c r="BI60" s="17">
        <f t="shared" si="64"/>
        <v>0</v>
      </c>
      <c r="BJ60" s="17">
        <f t="shared" si="65"/>
        <v>0</v>
      </c>
    </row>
    <row r="61" spans="1:62" x14ac:dyDescent="0.2">
      <c r="A61" s="6" t="s">
        <v>47</v>
      </c>
      <c r="B61" s="6" t="s">
        <v>128</v>
      </c>
      <c r="C61" s="107" t="s">
        <v>219</v>
      </c>
      <c r="D61" s="108"/>
      <c r="E61" s="108"/>
      <c r="F61" s="6" t="s">
        <v>267</v>
      </c>
      <c r="G61" s="71">
        <v>17</v>
      </c>
      <c r="H61" s="17">
        <v>0</v>
      </c>
      <c r="I61" s="17">
        <f t="shared" si="44"/>
        <v>0</v>
      </c>
      <c r="J61" s="17">
        <f t="shared" si="45"/>
        <v>0</v>
      </c>
      <c r="K61" s="17">
        <f t="shared" si="46"/>
        <v>0</v>
      </c>
      <c r="L61" s="29" t="s">
        <v>284</v>
      </c>
      <c r="Z61" s="33">
        <f t="shared" si="47"/>
        <v>0</v>
      </c>
      <c r="AB61" s="33">
        <f t="shared" si="48"/>
        <v>0</v>
      </c>
      <c r="AC61" s="33">
        <f t="shared" si="49"/>
        <v>0</v>
      </c>
      <c r="AD61" s="33">
        <f t="shared" si="50"/>
        <v>0</v>
      </c>
      <c r="AE61" s="33">
        <f t="shared" si="51"/>
        <v>0</v>
      </c>
      <c r="AF61" s="33">
        <f t="shared" si="52"/>
        <v>0</v>
      </c>
      <c r="AG61" s="33">
        <f t="shared" si="53"/>
        <v>0</v>
      </c>
      <c r="AH61" s="33">
        <f t="shared" si="54"/>
        <v>0</v>
      </c>
      <c r="AI61" s="28"/>
      <c r="AJ61" s="17">
        <f t="shared" si="55"/>
        <v>0</v>
      </c>
      <c r="AK61" s="17">
        <f t="shared" si="56"/>
        <v>0</v>
      </c>
      <c r="AL61" s="17">
        <f t="shared" si="57"/>
        <v>0</v>
      </c>
      <c r="AN61" s="33">
        <v>21</v>
      </c>
      <c r="AO61" s="33">
        <f>H61*1</f>
        <v>0</v>
      </c>
      <c r="AP61" s="33">
        <f>H61*(1-1)</f>
        <v>0</v>
      </c>
      <c r="AQ61" s="29" t="s">
        <v>7</v>
      </c>
      <c r="AV61" s="33">
        <f t="shared" si="58"/>
        <v>0</v>
      </c>
      <c r="AW61" s="33">
        <f t="shared" si="59"/>
        <v>0</v>
      </c>
      <c r="AX61" s="33">
        <f t="shared" si="60"/>
        <v>0</v>
      </c>
      <c r="AY61" s="34" t="s">
        <v>302</v>
      </c>
      <c r="AZ61" s="34" t="s">
        <v>310</v>
      </c>
      <c r="BA61" s="28" t="s">
        <v>312</v>
      </c>
      <c r="BC61" s="33">
        <f t="shared" si="61"/>
        <v>0</v>
      </c>
      <c r="BD61" s="33">
        <f t="shared" si="62"/>
        <v>0</v>
      </c>
      <c r="BE61" s="33">
        <v>0</v>
      </c>
      <c r="BF61" s="33">
        <f>61</f>
        <v>61</v>
      </c>
      <c r="BH61" s="17">
        <f t="shared" si="63"/>
        <v>0</v>
      </c>
      <c r="BI61" s="17">
        <f t="shared" si="64"/>
        <v>0</v>
      </c>
      <c r="BJ61" s="17">
        <f t="shared" si="65"/>
        <v>0</v>
      </c>
    </row>
    <row r="62" spans="1:62" x14ac:dyDescent="0.2">
      <c r="A62" s="6" t="s">
        <v>48</v>
      </c>
      <c r="B62" s="6" t="s">
        <v>129</v>
      </c>
      <c r="C62" s="107" t="s">
        <v>220</v>
      </c>
      <c r="D62" s="108"/>
      <c r="E62" s="108"/>
      <c r="F62" s="6" t="s">
        <v>267</v>
      </c>
      <c r="G62" s="71">
        <v>17</v>
      </c>
      <c r="H62" s="17">
        <v>0</v>
      </c>
      <c r="I62" s="17">
        <f t="shared" si="44"/>
        <v>0</v>
      </c>
      <c r="J62" s="17">
        <f t="shared" si="45"/>
        <v>0</v>
      </c>
      <c r="K62" s="17">
        <f t="shared" si="46"/>
        <v>0</v>
      </c>
      <c r="L62" s="29" t="s">
        <v>284</v>
      </c>
      <c r="Z62" s="33">
        <f t="shared" si="47"/>
        <v>0</v>
      </c>
      <c r="AB62" s="33">
        <f t="shared" si="48"/>
        <v>0</v>
      </c>
      <c r="AC62" s="33">
        <f t="shared" si="49"/>
        <v>0</v>
      </c>
      <c r="AD62" s="33">
        <f t="shared" si="50"/>
        <v>0</v>
      </c>
      <c r="AE62" s="33">
        <f t="shared" si="51"/>
        <v>0</v>
      </c>
      <c r="AF62" s="33">
        <f t="shared" si="52"/>
        <v>0</v>
      </c>
      <c r="AG62" s="33">
        <f t="shared" si="53"/>
        <v>0</v>
      </c>
      <c r="AH62" s="33">
        <f t="shared" si="54"/>
        <v>0</v>
      </c>
      <c r="AI62" s="28"/>
      <c r="AJ62" s="17">
        <f t="shared" si="55"/>
        <v>0</v>
      </c>
      <c r="AK62" s="17">
        <f t="shared" si="56"/>
        <v>0</v>
      </c>
      <c r="AL62" s="17">
        <f t="shared" si="57"/>
        <v>0</v>
      </c>
      <c r="AN62" s="33">
        <v>21</v>
      </c>
      <c r="AO62" s="33">
        <f>H62*1</f>
        <v>0</v>
      </c>
      <c r="AP62" s="33">
        <f>H62*(1-1)</f>
        <v>0</v>
      </c>
      <c r="AQ62" s="29" t="s">
        <v>7</v>
      </c>
      <c r="AV62" s="33">
        <f t="shared" si="58"/>
        <v>0</v>
      </c>
      <c r="AW62" s="33">
        <f t="shared" si="59"/>
        <v>0</v>
      </c>
      <c r="AX62" s="33">
        <f t="shared" si="60"/>
        <v>0</v>
      </c>
      <c r="AY62" s="34" t="s">
        <v>302</v>
      </c>
      <c r="AZ62" s="34" t="s">
        <v>310</v>
      </c>
      <c r="BA62" s="28" t="s">
        <v>312</v>
      </c>
      <c r="BC62" s="33">
        <f t="shared" si="61"/>
        <v>0</v>
      </c>
      <c r="BD62" s="33">
        <f t="shared" si="62"/>
        <v>0</v>
      </c>
      <c r="BE62" s="33">
        <v>0</v>
      </c>
      <c r="BF62" s="33">
        <f>62</f>
        <v>62</v>
      </c>
      <c r="BH62" s="17">
        <f t="shared" si="63"/>
        <v>0</v>
      </c>
      <c r="BI62" s="17">
        <f t="shared" si="64"/>
        <v>0</v>
      </c>
      <c r="BJ62" s="17">
        <f t="shared" si="65"/>
        <v>0</v>
      </c>
    </row>
    <row r="63" spans="1:62" x14ac:dyDescent="0.2">
      <c r="A63" s="4" t="s">
        <v>49</v>
      </c>
      <c r="B63" s="4" t="s">
        <v>130</v>
      </c>
      <c r="C63" s="103" t="s">
        <v>221</v>
      </c>
      <c r="D63" s="104"/>
      <c r="E63" s="104"/>
      <c r="F63" s="4" t="s">
        <v>267</v>
      </c>
      <c r="G63" s="68">
        <v>3</v>
      </c>
      <c r="H63" s="16">
        <v>0</v>
      </c>
      <c r="I63" s="16">
        <f t="shared" si="44"/>
        <v>0</v>
      </c>
      <c r="J63" s="16">
        <f t="shared" si="45"/>
        <v>0</v>
      </c>
      <c r="K63" s="16">
        <f t="shared" si="46"/>
        <v>0</v>
      </c>
      <c r="L63" s="27" t="s">
        <v>284</v>
      </c>
      <c r="Z63" s="33">
        <f t="shared" si="47"/>
        <v>0</v>
      </c>
      <c r="AB63" s="33">
        <f t="shared" si="48"/>
        <v>0</v>
      </c>
      <c r="AC63" s="33">
        <f t="shared" si="49"/>
        <v>0</v>
      </c>
      <c r="AD63" s="33">
        <f t="shared" si="50"/>
        <v>0</v>
      </c>
      <c r="AE63" s="33">
        <f t="shared" si="51"/>
        <v>0</v>
      </c>
      <c r="AF63" s="33">
        <f t="shared" si="52"/>
        <v>0</v>
      </c>
      <c r="AG63" s="33">
        <f t="shared" si="53"/>
        <v>0</v>
      </c>
      <c r="AH63" s="33">
        <f t="shared" si="54"/>
        <v>0</v>
      </c>
      <c r="AI63" s="28"/>
      <c r="AJ63" s="16">
        <f t="shared" si="55"/>
        <v>0</v>
      </c>
      <c r="AK63" s="16">
        <f t="shared" si="56"/>
        <v>0</v>
      </c>
      <c r="AL63" s="16">
        <f t="shared" si="57"/>
        <v>0</v>
      </c>
      <c r="AN63" s="33">
        <v>21</v>
      </c>
      <c r="AO63" s="33">
        <f>H63*0.100589171974522</f>
        <v>0</v>
      </c>
      <c r="AP63" s="33">
        <f>H63*(1-0.100589171974522)</f>
        <v>0</v>
      </c>
      <c r="AQ63" s="27" t="s">
        <v>7</v>
      </c>
      <c r="AV63" s="33">
        <f t="shared" si="58"/>
        <v>0</v>
      </c>
      <c r="AW63" s="33">
        <f t="shared" si="59"/>
        <v>0</v>
      </c>
      <c r="AX63" s="33">
        <f t="shared" si="60"/>
        <v>0</v>
      </c>
      <c r="AY63" s="34" t="s">
        <v>302</v>
      </c>
      <c r="AZ63" s="34" t="s">
        <v>310</v>
      </c>
      <c r="BA63" s="28" t="s">
        <v>312</v>
      </c>
      <c r="BC63" s="33">
        <f t="shared" si="61"/>
        <v>0</v>
      </c>
      <c r="BD63" s="33">
        <f t="shared" si="62"/>
        <v>0</v>
      </c>
      <c r="BE63" s="33">
        <v>0</v>
      </c>
      <c r="BF63" s="33">
        <f>63</f>
        <v>63</v>
      </c>
      <c r="BH63" s="16">
        <f t="shared" si="63"/>
        <v>0</v>
      </c>
      <c r="BI63" s="16">
        <f t="shared" si="64"/>
        <v>0</v>
      </c>
      <c r="BJ63" s="16">
        <f t="shared" si="65"/>
        <v>0</v>
      </c>
    </row>
    <row r="64" spans="1:62" x14ac:dyDescent="0.2">
      <c r="A64" s="6" t="s">
        <v>50</v>
      </c>
      <c r="B64" s="6" t="s">
        <v>131</v>
      </c>
      <c r="C64" s="107" t="s">
        <v>222</v>
      </c>
      <c r="D64" s="108"/>
      <c r="E64" s="108"/>
      <c r="F64" s="6" t="s">
        <v>267</v>
      </c>
      <c r="G64" s="71">
        <v>3</v>
      </c>
      <c r="H64" s="17">
        <v>0</v>
      </c>
      <c r="I64" s="17">
        <f t="shared" si="44"/>
        <v>0</v>
      </c>
      <c r="J64" s="17">
        <f t="shared" si="45"/>
        <v>0</v>
      </c>
      <c r="K64" s="17">
        <f t="shared" si="46"/>
        <v>0</v>
      </c>
      <c r="L64" s="29" t="s">
        <v>284</v>
      </c>
      <c r="Z64" s="33">
        <f t="shared" si="47"/>
        <v>0</v>
      </c>
      <c r="AB64" s="33">
        <f t="shared" si="48"/>
        <v>0</v>
      </c>
      <c r="AC64" s="33">
        <f t="shared" si="49"/>
        <v>0</v>
      </c>
      <c r="AD64" s="33">
        <f t="shared" si="50"/>
        <v>0</v>
      </c>
      <c r="AE64" s="33">
        <f t="shared" si="51"/>
        <v>0</v>
      </c>
      <c r="AF64" s="33">
        <f t="shared" si="52"/>
        <v>0</v>
      </c>
      <c r="AG64" s="33">
        <f t="shared" si="53"/>
        <v>0</v>
      </c>
      <c r="AH64" s="33">
        <f t="shared" si="54"/>
        <v>0</v>
      </c>
      <c r="AI64" s="28"/>
      <c r="AJ64" s="17">
        <f t="shared" si="55"/>
        <v>0</v>
      </c>
      <c r="AK64" s="17">
        <f t="shared" si="56"/>
        <v>0</v>
      </c>
      <c r="AL64" s="17">
        <f t="shared" si="57"/>
        <v>0</v>
      </c>
      <c r="AN64" s="33">
        <v>21</v>
      </c>
      <c r="AO64" s="33">
        <f>H64*1</f>
        <v>0</v>
      </c>
      <c r="AP64" s="33">
        <f>H64*(1-1)</f>
        <v>0</v>
      </c>
      <c r="AQ64" s="29" t="s">
        <v>7</v>
      </c>
      <c r="AV64" s="33">
        <f t="shared" si="58"/>
        <v>0</v>
      </c>
      <c r="AW64" s="33">
        <f t="shared" si="59"/>
        <v>0</v>
      </c>
      <c r="AX64" s="33">
        <f t="shared" si="60"/>
        <v>0</v>
      </c>
      <c r="AY64" s="34" t="s">
        <v>302</v>
      </c>
      <c r="AZ64" s="34" t="s">
        <v>310</v>
      </c>
      <c r="BA64" s="28" t="s">
        <v>312</v>
      </c>
      <c r="BC64" s="33">
        <f t="shared" si="61"/>
        <v>0</v>
      </c>
      <c r="BD64" s="33">
        <f t="shared" si="62"/>
        <v>0</v>
      </c>
      <c r="BE64" s="33">
        <v>0</v>
      </c>
      <c r="BF64" s="33">
        <f>64</f>
        <v>64</v>
      </c>
      <c r="BH64" s="17">
        <f t="shared" si="63"/>
        <v>0</v>
      </c>
      <c r="BI64" s="17">
        <f t="shared" si="64"/>
        <v>0</v>
      </c>
      <c r="BJ64" s="17">
        <f t="shared" si="65"/>
        <v>0</v>
      </c>
    </row>
    <row r="65" spans="1:62" x14ac:dyDescent="0.2">
      <c r="A65" s="6" t="s">
        <v>51</v>
      </c>
      <c r="B65" s="6" t="s">
        <v>128</v>
      </c>
      <c r="C65" s="107" t="s">
        <v>219</v>
      </c>
      <c r="D65" s="108"/>
      <c r="E65" s="108"/>
      <c r="F65" s="6" t="s">
        <v>267</v>
      </c>
      <c r="G65" s="71">
        <v>3</v>
      </c>
      <c r="H65" s="17">
        <v>0</v>
      </c>
      <c r="I65" s="17">
        <f t="shared" si="44"/>
        <v>0</v>
      </c>
      <c r="J65" s="17">
        <f t="shared" si="45"/>
        <v>0</v>
      </c>
      <c r="K65" s="17">
        <f t="shared" si="46"/>
        <v>0</v>
      </c>
      <c r="L65" s="29" t="s">
        <v>284</v>
      </c>
      <c r="Z65" s="33">
        <f t="shared" si="47"/>
        <v>0</v>
      </c>
      <c r="AB65" s="33">
        <f t="shared" si="48"/>
        <v>0</v>
      </c>
      <c r="AC65" s="33">
        <f t="shared" si="49"/>
        <v>0</v>
      </c>
      <c r="AD65" s="33">
        <f t="shared" si="50"/>
        <v>0</v>
      </c>
      <c r="AE65" s="33">
        <f t="shared" si="51"/>
        <v>0</v>
      </c>
      <c r="AF65" s="33">
        <f t="shared" si="52"/>
        <v>0</v>
      </c>
      <c r="AG65" s="33">
        <f t="shared" si="53"/>
        <v>0</v>
      </c>
      <c r="AH65" s="33">
        <f t="shared" si="54"/>
        <v>0</v>
      </c>
      <c r="AI65" s="28"/>
      <c r="AJ65" s="17">
        <f t="shared" si="55"/>
        <v>0</v>
      </c>
      <c r="AK65" s="17">
        <f t="shared" si="56"/>
        <v>0</v>
      </c>
      <c r="AL65" s="17">
        <f t="shared" si="57"/>
        <v>0</v>
      </c>
      <c r="AN65" s="33">
        <v>21</v>
      </c>
      <c r="AO65" s="33">
        <f>H65*1</f>
        <v>0</v>
      </c>
      <c r="AP65" s="33">
        <f>H65*(1-1)</f>
        <v>0</v>
      </c>
      <c r="AQ65" s="29" t="s">
        <v>7</v>
      </c>
      <c r="AV65" s="33">
        <f t="shared" si="58"/>
        <v>0</v>
      </c>
      <c r="AW65" s="33">
        <f t="shared" si="59"/>
        <v>0</v>
      </c>
      <c r="AX65" s="33">
        <f t="shared" si="60"/>
        <v>0</v>
      </c>
      <c r="AY65" s="34" t="s">
        <v>302</v>
      </c>
      <c r="AZ65" s="34" t="s">
        <v>310</v>
      </c>
      <c r="BA65" s="28" t="s">
        <v>312</v>
      </c>
      <c r="BC65" s="33">
        <f t="shared" si="61"/>
        <v>0</v>
      </c>
      <c r="BD65" s="33">
        <f t="shared" si="62"/>
        <v>0</v>
      </c>
      <c r="BE65" s="33">
        <v>0</v>
      </c>
      <c r="BF65" s="33">
        <f>65</f>
        <v>65</v>
      </c>
      <c r="BH65" s="17">
        <f t="shared" si="63"/>
        <v>0</v>
      </c>
      <c r="BI65" s="17">
        <f t="shared" si="64"/>
        <v>0</v>
      </c>
      <c r="BJ65" s="17">
        <f t="shared" si="65"/>
        <v>0</v>
      </c>
    </row>
    <row r="66" spans="1:62" x14ac:dyDescent="0.2">
      <c r="A66" s="6" t="s">
        <v>52</v>
      </c>
      <c r="B66" s="6" t="s">
        <v>129</v>
      </c>
      <c r="C66" s="107" t="s">
        <v>220</v>
      </c>
      <c r="D66" s="108"/>
      <c r="E66" s="108"/>
      <c r="F66" s="6" t="s">
        <v>267</v>
      </c>
      <c r="G66" s="71">
        <v>3</v>
      </c>
      <c r="H66" s="17">
        <v>0</v>
      </c>
      <c r="I66" s="17">
        <f t="shared" si="44"/>
        <v>0</v>
      </c>
      <c r="J66" s="17">
        <f t="shared" si="45"/>
        <v>0</v>
      </c>
      <c r="K66" s="17">
        <f t="shared" si="46"/>
        <v>0</v>
      </c>
      <c r="L66" s="29" t="s">
        <v>284</v>
      </c>
      <c r="Z66" s="33">
        <f t="shared" si="47"/>
        <v>0</v>
      </c>
      <c r="AB66" s="33">
        <f t="shared" si="48"/>
        <v>0</v>
      </c>
      <c r="AC66" s="33">
        <f t="shared" si="49"/>
        <v>0</v>
      </c>
      <c r="AD66" s="33">
        <f t="shared" si="50"/>
        <v>0</v>
      </c>
      <c r="AE66" s="33">
        <f t="shared" si="51"/>
        <v>0</v>
      </c>
      <c r="AF66" s="33">
        <f t="shared" si="52"/>
        <v>0</v>
      </c>
      <c r="AG66" s="33">
        <f t="shared" si="53"/>
        <v>0</v>
      </c>
      <c r="AH66" s="33">
        <f t="shared" si="54"/>
        <v>0</v>
      </c>
      <c r="AI66" s="28"/>
      <c r="AJ66" s="17">
        <f t="shared" si="55"/>
        <v>0</v>
      </c>
      <c r="AK66" s="17">
        <f t="shared" si="56"/>
        <v>0</v>
      </c>
      <c r="AL66" s="17">
        <f t="shared" si="57"/>
        <v>0</v>
      </c>
      <c r="AN66" s="33">
        <v>21</v>
      </c>
      <c r="AO66" s="33">
        <f>H66*1</f>
        <v>0</v>
      </c>
      <c r="AP66" s="33">
        <f>H66*(1-1)</f>
        <v>0</v>
      </c>
      <c r="AQ66" s="29" t="s">
        <v>7</v>
      </c>
      <c r="AV66" s="33">
        <f t="shared" si="58"/>
        <v>0</v>
      </c>
      <c r="AW66" s="33">
        <f t="shared" si="59"/>
        <v>0</v>
      </c>
      <c r="AX66" s="33">
        <f t="shared" si="60"/>
        <v>0</v>
      </c>
      <c r="AY66" s="34" t="s">
        <v>302</v>
      </c>
      <c r="AZ66" s="34" t="s">
        <v>310</v>
      </c>
      <c r="BA66" s="28" t="s">
        <v>312</v>
      </c>
      <c r="BC66" s="33">
        <f t="shared" si="61"/>
        <v>0</v>
      </c>
      <c r="BD66" s="33">
        <f t="shared" si="62"/>
        <v>0</v>
      </c>
      <c r="BE66" s="33">
        <v>0</v>
      </c>
      <c r="BF66" s="33">
        <f>66</f>
        <v>66</v>
      </c>
      <c r="BH66" s="17">
        <f t="shared" si="63"/>
        <v>0</v>
      </c>
      <c r="BI66" s="17">
        <f t="shared" si="64"/>
        <v>0</v>
      </c>
      <c r="BJ66" s="17">
        <f t="shared" si="65"/>
        <v>0</v>
      </c>
    </row>
    <row r="67" spans="1:62" x14ac:dyDescent="0.2">
      <c r="A67" s="4" t="s">
        <v>53</v>
      </c>
      <c r="B67" s="4" t="s">
        <v>132</v>
      </c>
      <c r="C67" s="103" t="s">
        <v>223</v>
      </c>
      <c r="D67" s="104"/>
      <c r="E67" s="104"/>
      <c r="F67" s="4" t="s">
        <v>267</v>
      </c>
      <c r="G67" s="68">
        <v>3</v>
      </c>
      <c r="H67" s="16">
        <v>0</v>
      </c>
      <c r="I67" s="16">
        <f t="shared" si="44"/>
        <v>0</v>
      </c>
      <c r="J67" s="16">
        <f t="shared" si="45"/>
        <v>0</v>
      </c>
      <c r="K67" s="16">
        <f t="shared" si="46"/>
        <v>0</v>
      </c>
      <c r="L67" s="27" t="s">
        <v>284</v>
      </c>
      <c r="Z67" s="33">
        <f t="shared" si="47"/>
        <v>0</v>
      </c>
      <c r="AB67" s="33">
        <f t="shared" si="48"/>
        <v>0</v>
      </c>
      <c r="AC67" s="33">
        <f t="shared" si="49"/>
        <v>0</v>
      </c>
      <c r="AD67" s="33">
        <f t="shared" si="50"/>
        <v>0</v>
      </c>
      <c r="AE67" s="33">
        <f t="shared" si="51"/>
        <v>0</v>
      </c>
      <c r="AF67" s="33">
        <f t="shared" si="52"/>
        <v>0</v>
      </c>
      <c r="AG67" s="33">
        <f t="shared" si="53"/>
        <v>0</v>
      </c>
      <c r="AH67" s="33">
        <f t="shared" si="54"/>
        <v>0</v>
      </c>
      <c r="AI67" s="28"/>
      <c r="AJ67" s="16">
        <f t="shared" si="55"/>
        <v>0</v>
      </c>
      <c r="AK67" s="16">
        <f t="shared" si="56"/>
        <v>0</v>
      </c>
      <c r="AL67" s="16">
        <f t="shared" si="57"/>
        <v>0</v>
      </c>
      <c r="AN67" s="33">
        <v>21</v>
      </c>
      <c r="AO67" s="33">
        <f>H67*0.107881715821872</f>
        <v>0</v>
      </c>
      <c r="AP67" s="33">
        <f>H67*(1-0.107881715821872)</f>
        <v>0</v>
      </c>
      <c r="AQ67" s="27" t="s">
        <v>7</v>
      </c>
      <c r="AV67" s="33">
        <f t="shared" si="58"/>
        <v>0</v>
      </c>
      <c r="AW67" s="33">
        <f t="shared" si="59"/>
        <v>0</v>
      </c>
      <c r="AX67" s="33">
        <f t="shared" si="60"/>
        <v>0</v>
      </c>
      <c r="AY67" s="34" t="s">
        <v>302</v>
      </c>
      <c r="AZ67" s="34" t="s">
        <v>310</v>
      </c>
      <c r="BA67" s="28" t="s">
        <v>312</v>
      </c>
      <c r="BC67" s="33">
        <f t="shared" si="61"/>
        <v>0</v>
      </c>
      <c r="BD67" s="33">
        <f t="shared" si="62"/>
        <v>0</v>
      </c>
      <c r="BE67" s="33">
        <v>0</v>
      </c>
      <c r="BF67" s="33">
        <f>67</f>
        <v>67</v>
      </c>
      <c r="BH67" s="16">
        <f t="shared" si="63"/>
        <v>0</v>
      </c>
      <c r="BI67" s="16">
        <f t="shared" si="64"/>
        <v>0</v>
      </c>
      <c r="BJ67" s="16">
        <f t="shared" si="65"/>
        <v>0</v>
      </c>
    </row>
    <row r="68" spans="1:62" x14ac:dyDescent="0.2">
      <c r="A68" s="6" t="s">
        <v>54</v>
      </c>
      <c r="B68" s="6" t="s">
        <v>133</v>
      </c>
      <c r="C68" s="107" t="s">
        <v>224</v>
      </c>
      <c r="D68" s="108"/>
      <c r="E68" s="108"/>
      <c r="F68" s="6" t="s">
        <v>267</v>
      </c>
      <c r="G68" s="71">
        <v>3</v>
      </c>
      <c r="H68" s="17">
        <v>0</v>
      </c>
      <c r="I68" s="17">
        <f t="shared" si="44"/>
        <v>0</v>
      </c>
      <c r="J68" s="17">
        <f t="shared" si="45"/>
        <v>0</v>
      </c>
      <c r="K68" s="17">
        <f t="shared" si="46"/>
        <v>0</v>
      </c>
      <c r="L68" s="29" t="s">
        <v>284</v>
      </c>
      <c r="Z68" s="33">
        <f t="shared" si="47"/>
        <v>0</v>
      </c>
      <c r="AB68" s="33">
        <f t="shared" si="48"/>
        <v>0</v>
      </c>
      <c r="AC68" s="33">
        <f t="shared" si="49"/>
        <v>0</v>
      </c>
      <c r="AD68" s="33">
        <f t="shared" si="50"/>
        <v>0</v>
      </c>
      <c r="AE68" s="33">
        <f t="shared" si="51"/>
        <v>0</v>
      </c>
      <c r="AF68" s="33">
        <f t="shared" si="52"/>
        <v>0</v>
      </c>
      <c r="AG68" s="33">
        <f t="shared" si="53"/>
        <v>0</v>
      </c>
      <c r="AH68" s="33">
        <f t="shared" si="54"/>
        <v>0</v>
      </c>
      <c r="AI68" s="28"/>
      <c r="AJ68" s="17">
        <f t="shared" si="55"/>
        <v>0</v>
      </c>
      <c r="AK68" s="17">
        <f t="shared" si="56"/>
        <v>0</v>
      </c>
      <c r="AL68" s="17">
        <f t="shared" si="57"/>
        <v>0</v>
      </c>
      <c r="AN68" s="33">
        <v>21</v>
      </c>
      <c r="AO68" s="33">
        <f>H68*1</f>
        <v>0</v>
      </c>
      <c r="AP68" s="33">
        <f>H68*(1-1)</f>
        <v>0</v>
      </c>
      <c r="AQ68" s="29" t="s">
        <v>7</v>
      </c>
      <c r="AV68" s="33">
        <f t="shared" si="58"/>
        <v>0</v>
      </c>
      <c r="AW68" s="33">
        <f t="shared" si="59"/>
        <v>0</v>
      </c>
      <c r="AX68" s="33">
        <f t="shared" si="60"/>
        <v>0</v>
      </c>
      <c r="AY68" s="34" t="s">
        <v>302</v>
      </c>
      <c r="AZ68" s="34" t="s">
        <v>310</v>
      </c>
      <c r="BA68" s="28" t="s">
        <v>312</v>
      </c>
      <c r="BC68" s="33">
        <f t="shared" si="61"/>
        <v>0</v>
      </c>
      <c r="BD68" s="33">
        <f t="shared" si="62"/>
        <v>0</v>
      </c>
      <c r="BE68" s="33">
        <v>0</v>
      </c>
      <c r="BF68" s="33">
        <f>68</f>
        <v>68</v>
      </c>
      <c r="BH68" s="17">
        <f t="shared" si="63"/>
        <v>0</v>
      </c>
      <c r="BI68" s="17">
        <f t="shared" si="64"/>
        <v>0</v>
      </c>
      <c r="BJ68" s="17">
        <f t="shared" si="65"/>
        <v>0</v>
      </c>
    </row>
    <row r="69" spans="1:62" x14ac:dyDescent="0.2">
      <c r="A69" s="4" t="s">
        <v>55</v>
      </c>
      <c r="B69" s="4" t="s">
        <v>134</v>
      </c>
      <c r="C69" s="103" t="s">
        <v>225</v>
      </c>
      <c r="D69" s="104"/>
      <c r="E69" s="104"/>
      <c r="F69" s="4" t="s">
        <v>267</v>
      </c>
      <c r="G69" s="68">
        <v>1</v>
      </c>
      <c r="H69" s="16">
        <v>0</v>
      </c>
      <c r="I69" s="16">
        <f t="shared" si="44"/>
        <v>0</v>
      </c>
      <c r="J69" s="16">
        <f t="shared" si="45"/>
        <v>0</v>
      </c>
      <c r="K69" s="16">
        <f t="shared" si="46"/>
        <v>0</v>
      </c>
      <c r="L69" s="27" t="s">
        <v>284</v>
      </c>
      <c r="Z69" s="33">
        <f t="shared" si="47"/>
        <v>0</v>
      </c>
      <c r="AB69" s="33">
        <f t="shared" si="48"/>
        <v>0</v>
      </c>
      <c r="AC69" s="33">
        <f t="shared" si="49"/>
        <v>0</v>
      </c>
      <c r="AD69" s="33">
        <f t="shared" si="50"/>
        <v>0</v>
      </c>
      <c r="AE69" s="33">
        <f t="shared" si="51"/>
        <v>0</v>
      </c>
      <c r="AF69" s="33">
        <f t="shared" si="52"/>
        <v>0</v>
      </c>
      <c r="AG69" s="33">
        <f t="shared" si="53"/>
        <v>0</v>
      </c>
      <c r="AH69" s="33">
        <f t="shared" si="54"/>
        <v>0</v>
      </c>
      <c r="AI69" s="28"/>
      <c r="AJ69" s="16">
        <f t="shared" si="55"/>
        <v>0</v>
      </c>
      <c r="AK69" s="16">
        <f t="shared" si="56"/>
        <v>0</v>
      </c>
      <c r="AL69" s="16">
        <f t="shared" si="57"/>
        <v>0</v>
      </c>
      <c r="AN69" s="33">
        <v>21</v>
      </c>
      <c r="AO69" s="33">
        <f>H69*0.1054</f>
        <v>0</v>
      </c>
      <c r="AP69" s="33">
        <f>H69*(1-0.1054)</f>
        <v>0</v>
      </c>
      <c r="AQ69" s="27" t="s">
        <v>7</v>
      </c>
      <c r="AV69" s="33">
        <f t="shared" si="58"/>
        <v>0</v>
      </c>
      <c r="AW69" s="33">
        <f t="shared" si="59"/>
        <v>0</v>
      </c>
      <c r="AX69" s="33">
        <f t="shared" si="60"/>
        <v>0</v>
      </c>
      <c r="AY69" s="34" t="s">
        <v>302</v>
      </c>
      <c r="AZ69" s="34" t="s">
        <v>310</v>
      </c>
      <c r="BA69" s="28" t="s">
        <v>312</v>
      </c>
      <c r="BC69" s="33">
        <f t="shared" si="61"/>
        <v>0</v>
      </c>
      <c r="BD69" s="33">
        <f t="shared" si="62"/>
        <v>0</v>
      </c>
      <c r="BE69" s="33">
        <v>0</v>
      </c>
      <c r="BF69" s="33">
        <f>69</f>
        <v>69</v>
      </c>
      <c r="BH69" s="16">
        <f t="shared" si="63"/>
        <v>0</v>
      </c>
      <c r="BI69" s="16">
        <f t="shared" si="64"/>
        <v>0</v>
      </c>
      <c r="BJ69" s="16">
        <f t="shared" si="65"/>
        <v>0</v>
      </c>
    </row>
    <row r="70" spans="1:62" x14ac:dyDescent="0.2">
      <c r="A70" s="6" t="s">
        <v>56</v>
      </c>
      <c r="B70" s="6" t="s">
        <v>135</v>
      </c>
      <c r="C70" s="107" t="s">
        <v>226</v>
      </c>
      <c r="D70" s="108"/>
      <c r="E70" s="108"/>
      <c r="F70" s="6" t="s">
        <v>267</v>
      </c>
      <c r="G70" s="71">
        <v>1</v>
      </c>
      <c r="H70" s="17">
        <v>0</v>
      </c>
      <c r="I70" s="17">
        <f t="shared" si="44"/>
        <v>0</v>
      </c>
      <c r="J70" s="17">
        <f t="shared" si="45"/>
        <v>0</v>
      </c>
      <c r="K70" s="17">
        <f t="shared" si="46"/>
        <v>0</v>
      </c>
      <c r="L70" s="29" t="s">
        <v>284</v>
      </c>
      <c r="Z70" s="33">
        <f t="shared" si="47"/>
        <v>0</v>
      </c>
      <c r="AB70" s="33">
        <f t="shared" si="48"/>
        <v>0</v>
      </c>
      <c r="AC70" s="33">
        <f t="shared" si="49"/>
        <v>0</v>
      </c>
      <c r="AD70" s="33">
        <f t="shared" si="50"/>
        <v>0</v>
      </c>
      <c r="AE70" s="33">
        <f t="shared" si="51"/>
        <v>0</v>
      </c>
      <c r="AF70" s="33">
        <f t="shared" si="52"/>
        <v>0</v>
      </c>
      <c r="AG70" s="33">
        <f t="shared" si="53"/>
        <v>0</v>
      </c>
      <c r="AH70" s="33">
        <f t="shared" si="54"/>
        <v>0</v>
      </c>
      <c r="AI70" s="28"/>
      <c r="AJ70" s="17">
        <f t="shared" si="55"/>
        <v>0</v>
      </c>
      <c r="AK70" s="17">
        <f t="shared" si="56"/>
        <v>0</v>
      </c>
      <c r="AL70" s="17">
        <f t="shared" si="57"/>
        <v>0</v>
      </c>
      <c r="AN70" s="33">
        <v>21</v>
      </c>
      <c r="AO70" s="33">
        <f>H70*1</f>
        <v>0</v>
      </c>
      <c r="AP70" s="33">
        <f>H70*(1-1)</f>
        <v>0</v>
      </c>
      <c r="AQ70" s="29" t="s">
        <v>7</v>
      </c>
      <c r="AV70" s="33">
        <f t="shared" si="58"/>
        <v>0</v>
      </c>
      <c r="AW70" s="33">
        <f t="shared" si="59"/>
        <v>0</v>
      </c>
      <c r="AX70" s="33">
        <f t="shared" si="60"/>
        <v>0</v>
      </c>
      <c r="AY70" s="34" t="s">
        <v>302</v>
      </c>
      <c r="AZ70" s="34" t="s">
        <v>310</v>
      </c>
      <c r="BA70" s="28" t="s">
        <v>312</v>
      </c>
      <c r="BC70" s="33">
        <f t="shared" si="61"/>
        <v>0</v>
      </c>
      <c r="BD70" s="33">
        <f t="shared" si="62"/>
        <v>0</v>
      </c>
      <c r="BE70" s="33">
        <v>0</v>
      </c>
      <c r="BF70" s="33">
        <f>70</f>
        <v>70</v>
      </c>
      <c r="BH70" s="17">
        <f t="shared" si="63"/>
        <v>0</v>
      </c>
      <c r="BI70" s="17">
        <f t="shared" si="64"/>
        <v>0</v>
      </c>
      <c r="BJ70" s="17">
        <f t="shared" si="65"/>
        <v>0</v>
      </c>
    </row>
    <row r="71" spans="1:62" x14ac:dyDescent="0.2">
      <c r="A71" s="6" t="s">
        <v>57</v>
      </c>
      <c r="B71" s="6" t="s">
        <v>136</v>
      </c>
      <c r="C71" s="107" t="s">
        <v>227</v>
      </c>
      <c r="D71" s="108"/>
      <c r="E71" s="108"/>
      <c r="F71" s="6" t="s">
        <v>267</v>
      </c>
      <c r="G71" s="71">
        <v>1</v>
      </c>
      <c r="H71" s="17">
        <v>0</v>
      </c>
      <c r="I71" s="17">
        <f t="shared" si="44"/>
        <v>0</v>
      </c>
      <c r="J71" s="17">
        <f t="shared" si="45"/>
        <v>0</v>
      </c>
      <c r="K71" s="17">
        <f t="shared" si="46"/>
        <v>0</v>
      </c>
      <c r="L71" s="29" t="s">
        <v>284</v>
      </c>
      <c r="Z71" s="33">
        <f t="shared" si="47"/>
        <v>0</v>
      </c>
      <c r="AB71" s="33">
        <f t="shared" si="48"/>
        <v>0</v>
      </c>
      <c r="AC71" s="33">
        <f t="shared" si="49"/>
        <v>0</v>
      </c>
      <c r="AD71" s="33">
        <f t="shared" si="50"/>
        <v>0</v>
      </c>
      <c r="AE71" s="33">
        <f t="shared" si="51"/>
        <v>0</v>
      </c>
      <c r="AF71" s="33">
        <f t="shared" si="52"/>
        <v>0</v>
      </c>
      <c r="AG71" s="33">
        <f t="shared" si="53"/>
        <v>0</v>
      </c>
      <c r="AH71" s="33">
        <f t="shared" si="54"/>
        <v>0</v>
      </c>
      <c r="AI71" s="28"/>
      <c r="AJ71" s="17">
        <f t="shared" si="55"/>
        <v>0</v>
      </c>
      <c r="AK71" s="17">
        <f t="shared" si="56"/>
        <v>0</v>
      </c>
      <c r="AL71" s="17">
        <f t="shared" si="57"/>
        <v>0</v>
      </c>
      <c r="AN71" s="33">
        <v>21</v>
      </c>
      <c r="AO71" s="33">
        <f>H71*1</f>
        <v>0</v>
      </c>
      <c r="AP71" s="33">
        <f>H71*(1-1)</f>
        <v>0</v>
      </c>
      <c r="AQ71" s="29" t="s">
        <v>7</v>
      </c>
      <c r="AV71" s="33">
        <f t="shared" si="58"/>
        <v>0</v>
      </c>
      <c r="AW71" s="33">
        <f t="shared" si="59"/>
        <v>0</v>
      </c>
      <c r="AX71" s="33">
        <f t="shared" si="60"/>
        <v>0</v>
      </c>
      <c r="AY71" s="34" t="s">
        <v>302</v>
      </c>
      <c r="AZ71" s="34" t="s">
        <v>310</v>
      </c>
      <c r="BA71" s="28" t="s">
        <v>312</v>
      </c>
      <c r="BC71" s="33">
        <f t="shared" si="61"/>
        <v>0</v>
      </c>
      <c r="BD71" s="33">
        <f t="shared" si="62"/>
        <v>0</v>
      </c>
      <c r="BE71" s="33">
        <v>0</v>
      </c>
      <c r="BF71" s="33">
        <f>71</f>
        <v>71</v>
      </c>
      <c r="BH71" s="17">
        <f t="shared" si="63"/>
        <v>0</v>
      </c>
      <c r="BI71" s="17">
        <f t="shared" si="64"/>
        <v>0</v>
      </c>
      <c r="BJ71" s="17">
        <f t="shared" si="65"/>
        <v>0</v>
      </c>
    </row>
    <row r="72" spans="1:62" x14ac:dyDescent="0.2">
      <c r="A72" s="6" t="s">
        <v>58</v>
      </c>
      <c r="B72" s="6" t="s">
        <v>137</v>
      </c>
      <c r="C72" s="107" t="s">
        <v>228</v>
      </c>
      <c r="D72" s="108"/>
      <c r="E72" s="108"/>
      <c r="F72" s="6" t="s">
        <v>267</v>
      </c>
      <c r="G72" s="71">
        <v>1</v>
      </c>
      <c r="H72" s="17">
        <v>0</v>
      </c>
      <c r="I72" s="17">
        <f t="shared" si="44"/>
        <v>0</v>
      </c>
      <c r="J72" s="17">
        <f t="shared" si="45"/>
        <v>0</v>
      </c>
      <c r="K72" s="17">
        <f t="shared" si="46"/>
        <v>0</v>
      </c>
      <c r="L72" s="29" t="s">
        <v>284</v>
      </c>
      <c r="Z72" s="33">
        <f t="shared" si="47"/>
        <v>0</v>
      </c>
      <c r="AB72" s="33">
        <f t="shared" si="48"/>
        <v>0</v>
      </c>
      <c r="AC72" s="33">
        <f t="shared" si="49"/>
        <v>0</v>
      </c>
      <c r="AD72" s="33">
        <f t="shared" si="50"/>
        <v>0</v>
      </c>
      <c r="AE72" s="33">
        <f t="shared" si="51"/>
        <v>0</v>
      </c>
      <c r="AF72" s="33">
        <f t="shared" si="52"/>
        <v>0</v>
      </c>
      <c r="AG72" s="33">
        <f t="shared" si="53"/>
        <v>0</v>
      </c>
      <c r="AH72" s="33">
        <f t="shared" si="54"/>
        <v>0</v>
      </c>
      <c r="AI72" s="28"/>
      <c r="AJ72" s="17">
        <f t="shared" si="55"/>
        <v>0</v>
      </c>
      <c r="AK72" s="17">
        <f t="shared" si="56"/>
        <v>0</v>
      </c>
      <c r="AL72" s="17">
        <f t="shared" si="57"/>
        <v>0</v>
      </c>
      <c r="AN72" s="33">
        <v>21</v>
      </c>
      <c r="AO72" s="33">
        <f>H72*1</f>
        <v>0</v>
      </c>
      <c r="AP72" s="33">
        <f>H72*(1-1)</f>
        <v>0</v>
      </c>
      <c r="AQ72" s="29" t="s">
        <v>7</v>
      </c>
      <c r="AV72" s="33">
        <f t="shared" si="58"/>
        <v>0</v>
      </c>
      <c r="AW72" s="33">
        <f t="shared" si="59"/>
        <v>0</v>
      </c>
      <c r="AX72" s="33">
        <f t="shared" si="60"/>
        <v>0</v>
      </c>
      <c r="AY72" s="34" t="s">
        <v>302</v>
      </c>
      <c r="AZ72" s="34" t="s">
        <v>310</v>
      </c>
      <c r="BA72" s="28" t="s">
        <v>312</v>
      </c>
      <c r="BC72" s="33">
        <f t="shared" si="61"/>
        <v>0</v>
      </c>
      <c r="BD72" s="33">
        <f t="shared" si="62"/>
        <v>0</v>
      </c>
      <c r="BE72" s="33">
        <v>0</v>
      </c>
      <c r="BF72" s="33">
        <f>72</f>
        <v>72</v>
      </c>
      <c r="BH72" s="17">
        <f t="shared" si="63"/>
        <v>0</v>
      </c>
      <c r="BI72" s="17">
        <f t="shared" si="64"/>
        <v>0</v>
      </c>
      <c r="BJ72" s="17">
        <f t="shared" si="65"/>
        <v>0</v>
      </c>
    </row>
    <row r="73" spans="1:62" x14ac:dyDescent="0.2">
      <c r="A73" s="4" t="s">
        <v>59</v>
      </c>
      <c r="B73" s="4" t="s">
        <v>138</v>
      </c>
      <c r="C73" s="103" t="s">
        <v>229</v>
      </c>
      <c r="D73" s="104"/>
      <c r="E73" s="104"/>
      <c r="F73" s="4" t="s">
        <v>267</v>
      </c>
      <c r="G73" s="68">
        <v>1</v>
      </c>
      <c r="H73" s="16">
        <v>0</v>
      </c>
      <c r="I73" s="16">
        <f t="shared" si="44"/>
        <v>0</v>
      </c>
      <c r="J73" s="16">
        <f t="shared" si="45"/>
        <v>0</v>
      </c>
      <c r="K73" s="16">
        <f t="shared" si="46"/>
        <v>0</v>
      </c>
      <c r="L73" s="27" t="s">
        <v>284</v>
      </c>
      <c r="Z73" s="33">
        <f t="shared" si="47"/>
        <v>0</v>
      </c>
      <c r="AB73" s="33">
        <f t="shared" si="48"/>
        <v>0</v>
      </c>
      <c r="AC73" s="33">
        <f t="shared" si="49"/>
        <v>0</v>
      </c>
      <c r="AD73" s="33">
        <f t="shared" si="50"/>
        <v>0</v>
      </c>
      <c r="AE73" s="33">
        <f t="shared" si="51"/>
        <v>0</v>
      </c>
      <c r="AF73" s="33">
        <f t="shared" si="52"/>
        <v>0</v>
      </c>
      <c r="AG73" s="33">
        <f t="shared" si="53"/>
        <v>0</v>
      </c>
      <c r="AH73" s="33">
        <f t="shared" si="54"/>
        <v>0</v>
      </c>
      <c r="AI73" s="28"/>
      <c r="AJ73" s="16">
        <f t="shared" si="55"/>
        <v>0</v>
      </c>
      <c r="AK73" s="16">
        <f t="shared" si="56"/>
        <v>0</v>
      </c>
      <c r="AL73" s="16">
        <f t="shared" si="57"/>
        <v>0</v>
      </c>
      <c r="AN73" s="33">
        <v>21</v>
      </c>
      <c r="AO73" s="33">
        <f>H73*0</f>
        <v>0</v>
      </c>
      <c r="AP73" s="33">
        <f>H73*(1-0)</f>
        <v>0</v>
      </c>
      <c r="AQ73" s="27" t="s">
        <v>7</v>
      </c>
      <c r="AV73" s="33">
        <f t="shared" si="58"/>
        <v>0</v>
      </c>
      <c r="AW73" s="33">
        <f t="shared" si="59"/>
        <v>0</v>
      </c>
      <c r="AX73" s="33">
        <f t="shared" si="60"/>
        <v>0</v>
      </c>
      <c r="AY73" s="34" t="s">
        <v>302</v>
      </c>
      <c r="AZ73" s="34" t="s">
        <v>310</v>
      </c>
      <c r="BA73" s="28" t="s">
        <v>312</v>
      </c>
      <c r="BC73" s="33">
        <f t="shared" si="61"/>
        <v>0</v>
      </c>
      <c r="BD73" s="33">
        <f t="shared" si="62"/>
        <v>0</v>
      </c>
      <c r="BE73" s="33">
        <v>0</v>
      </c>
      <c r="BF73" s="33">
        <f>73</f>
        <v>73</v>
      </c>
      <c r="BH73" s="16">
        <f t="shared" si="63"/>
        <v>0</v>
      </c>
      <c r="BI73" s="16">
        <f t="shared" si="64"/>
        <v>0</v>
      </c>
      <c r="BJ73" s="16">
        <f t="shared" si="65"/>
        <v>0</v>
      </c>
    </row>
    <row r="74" spans="1:62" x14ac:dyDescent="0.2">
      <c r="A74" s="6" t="s">
        <v>60</v>
      </c>
      <c r="B74" s="6" t="s">
        <v>139</v>
      </c>
      <c r="C74" s="107" t="s">
        <v>230</v>
      </c>
      <c r="D74" s="108"/>
      <c r="E74" s="108"/>
      <c r="F74" s="6" t="s">
        <v>267</v>
      </c>
      <c r="G74" s="71">
        <v>1</v>
      </c>
      <c r="H74" s="17">
        <v>0</v>
      </c>
      <c r="I74" s="17">
        <f t="shared" si="44"/>
        <v>0</v>
      </c>
      <c r="J74" s="17">
        <f t="shared" si="45"/>
        <v>0</v>
      </c>
      <c r="K74" s="17">
        <f t="shared" si="46"/>
        <v>0</v>
      </c>
      <c r="L74" s="29" t="s">
        <v>284</v>
      </c>
      <c r="Z74" s="33">
        <f t="shared" si="47"/>
        <v>0</v>
      </c>
      <c r="AB74" s="33">
        <f t="shared" si="48"/>
        <v>0</v>
      </c>
      <c r="AC74" s="33">
        <f t="shared" si="49"/>
        <v>0</v>
      </c>
      <c r="AD74" s="33">
        <f t="shared" si="50"/>
        <v>0</v>
      </c>
      <c r="AE74" s="33">
        <f t="shared" si="51"/>
        <v>0</v>
      </c>
      <c r="AF74" s="33">
        <f t="shared" si="52"/>
        <v>0</v>
      </c>
      <c r="AG74" s="33">
        <f t="shared" si="53"/>
        <v>0</v>
      </c>
      <c r="AH74" s="33">
        <f t="shared" si="54"/>
        <v>0</v>
      </c>
      <c r="AI74" s="28"/>
      <c r="AJ74" s="17">
        <f t="shared" si="55"/>
        <v>0</v>
      </c>
      <c r="AK74" s="17">
        <f t="shared" si="56"/>
        <v>0</v>
      </c>
      <c r="AL74" s="17">
        <f t="shared" si="57"/>
        <v>0</v>
      </c>
      <c r="AN74" s="33">
        <v>21</v>
      </c>
      <c r="AO74" s="33">
        <f>H74*1</f>
        <v>0</v>
      </c>
      <c r="AP74" s="33">
        <f>H74*(1-1)</f>
        <v>0</v>
      </c>
      <c r="AQ74" s="29" t="s">
        <v>7</v>
      </c>
      <c r="AV74" s="33">
        <f t="shared" si="58"/>
        <v>0</v>
      </c>
      <c r="AW74" s="33">
        <f t="shared" si="59"/>
        <v>0</v>
      </c>
      <c r="AX74" s="33">
        <f t="shared" si="60"/>
        <v>0</v>
      </c>
      <c r="AY74" s="34" t="s">
        <v>302</v>
      </c>
      <c r="AZ74" s="34" t="s">
        <v>310</v>
      </c>
      <c r="BA74" s="28" t="s">
        <v>312</v>
      </c>
      <c r="BC74" s="33">
        <f t="shared" si="61"/>
        <v>0</v>
      </c>
      <c r="BD74" s="33">
        <f t="shared" si="62"/>
        <v>0</v>
      </c>
      <c r="BE74" s="33">
        <v>0</v>
      </c>
      <c r="BF74" s="33">
        <f>74</f>
        <v>74</v>
      </c>
      <c r="BH74" s="17">
        <f t="shared" si="63"/>
        <v>0</v>
      </c>
      <c r="BI74" s="17">
        <f t="shared" si="64"/>
        <v>0</v>
      </c>
      <c r="BJ74" s="17">
        <f t="shared" si="65"/>
        <v>0</v>
      </c>
    </row>
    <row r="75" spans="1:62" x14ac:dyDescent="0.2">
      <c r="A75" s="4" t="s">
        <v>61</v>
      </c>
      <c r="B75" s="4" t="s">
        <v>140</v>
      </c>
      <c r="C75" s="103" t="s">
        <v>231</v>
      </c>
      <c r="D75" s="104"/>
      <c r="E75" s="104"/>
      <c r="F75" s="4" t="s">
        <v>267</v>
      </c>
      <c r="G75" s="68">
        <v>17</v>
      </c>
      <c r="H75" s="16">
        <v>0</v>
      </c>
      <c r="I75" s="16">
        <f t="shared" si="44"/>
        <v>0</v>
      </c>
      <c r="J75" s="16">
        <f t="shared" si="45"/>
        <v>0</v>
      </c>
      <c r="K75" s="16">
        <f t="shared" si="46"/>
        <v>0</v>
      </c>
      <c r="L75" s="27" t="s">
        <v>284</v>
      </c>
      <c r="Z75" s="33">
        <f t="shared" si="47"/>
        <v>0</v>
      </c>
      <c r="AB75" s="33">
        <f t="shared" si="48"/>
        <v>0</v>
      </c>
      <c r="AC75" s="33">
        <f t="shared" si="49"/>
        <v>0</v>
      </c>
      <c r="AD75" s="33">
        <f t="shared" si="50"/>
        <v>0</v>
      </c>
      <c r="AE75" s="33">
        <f t="shared" si="51"/>
        <v>0</v>
      </c>
      <c r="AF75" s="33">
        <f t="shared" si="52"/>
        <v>0</v>
      </c>
      <c r="AG75" s="33">
        <f t="shared" si="53"/>
        <v>0</v>
      </c>
      <c r="AH75" s="33">
        <f t="shared" si="54"/>
        <v>0</v>
      </c>
      <c r="AI75" s="28"/>
      <c r="AJ75" s="16">
        <f t="shared" si="55"/>
        <v>0</v>
      </c>
      <c r="AK75" s="16">
        <f t="shared" si="56"/>
        <v>0</v>
      </c>
      <c r="AL75" s="16">
        <f t="shared" si="57"/>
        <v>0</v>
      </c>
      <c r="AN75" s="33">
        <v>21</v>
      </c>
      <c r="AO75" s="33">
        <f>H75*0</f>
        <v>0</v>
      </c>
      <c r="AP75" s="33">
        <f>H75*(1-0)</f>
        <v>0</v>
      </c>
      <c r="AQ75" s="27" t="s">
        <v>7</v>
      </c>
      <c r="AV75" s="33">
        <f t="shared" si="58"/>
        <v>0</v>
      </c>
      <c r="AW75" s="33">
        <f t="shared" si="59"/>
        <v>0</v>
      </c>
      <c r="AX75" s="33">
        <f t="shared" si="60"/>
        <v>0</v>
      </c>
      <c r="AY75" s="34" t="s">
        <v>302</v>
      </c>
      <c r="AZ75" s="34" t="s">
        <v>310</v>
      </c>
      <c r="BA75" s="28" t="s">
        <v>312</v>
      </c>
      <c r="BC75" s="33">
        <f t="shared" si="61"/>
        <v>0</v>
      </c>
      <c r="BD75" s="33">
        <f t="shared" si="62"/>
        <v>0</v>
      </c>
      <c r="BE75" s="33">
        <v>0</v>
      </c>
      <c r="BF75" s="33">
        <f>75</f>
        <v>75</v>
      </c>
      <c r="BH75" s="16">
        <f t="shared" si="63"/>
        <v>0</v>
      </c>
      <c r="BI75" s="16">
        <f t="shared" si="64"/>
        <v>0</v>
      </c>
      <c r="BJ75" s="16">
        <f t="shared" si="65"/>
        <v>0</v>
      </c>
    </row>
    <row r="76" spans="1:62" x14ac:dyDescent="0.2">
      <c r="A76" s="6" t="s">
        <v>62</v>
      </c>
      <c r="B76" s="6" t="s">
        <v>141</v>
      </c>
      <c r="C76" s="107" t="s">
        <v>232</v>
      </c>
      <c r="D76" s="108"/>
      <c r="E76" s="108"/>
      <c r="F76" s="6" t="s">
        <v>267</v>
      </c>
      <c r="G76" s="71">
        <v>17</v>
      </c>
      <c r="H76" s="17">
        <v>0</v>
      </c>
      <c r="I76" s="17">
        <f t="shared" si="44"/>
        <v>0</v>
      </c>
      <c r="J76" s="17">
        <f t="shared" si="45"/>
        <v>0</v>
      </c>
      <c r="K76" s="17">
        <f t="shared" si="46"/>
        <v>0</v>
      </c>
      <c r="L76" s="29" t="s">
        <v>284</v>
      </c>
      <c r="Z76" s="33">
        <f t="shared" si="47"/>
        <v>0</v>
      </c>
      <c r="AB76" s="33">
        <f t="shared" si="48"/>
        <v>0</v>
      </c>
      <c r="AC76" s="33">
        <f t="shared" si="49"/>
        <v>0</v>
      </c>
      <c r="AD76" s="33">
        <f t="shared" si="50"/>
        <v>0</v>
      </c>
      <c r="AE76" s="33">
        <f t="shared" si="51"/>
        <v>0</v>
      </c>
      <c r="AF76" s="33">
        <f t="shared" si="52"/>
        <v>0</v>
      </c>
      <c r="AG76" s="33">
        <f t="shared" si="53"/>
        <v>0</v>
      </c>
      <c r="AH76" s="33">
        <f t="shared" si="54"/>
        <v>0</v>
      </c>
      <c r="AI76" s="28"/>
      <c r="AJ76" s="17">
        <f t="shared" si="55"/>
        <v>0</v>
      </c>
      <c r="AK76" s="17">
        <f t="shared" si="56"/>
        <v>0</v>
      </c>
      <c r="AL76" s="17">
        <f t="shared" si="57"/>
        <v>0</v>
      </c>
      <c r="AN76" s="33">
        <v>21</v>
      </c>
      <c r="AO76" s="33">
        <f>H76*1</f>
        <v>0</v>
      </c>
      <c r="AP76" s="33">
        <f>H76*(1-1)</f>
        <v>0</v>
      </c>
      <c r="AQ76" s="29" t="s">
        <v>7</v>
      </c>
      <c r="AV76" s="33">
        <f t="shared" si="58"/>
        <v>0</v>
      </c>
      <c r="AW76" s="33">
        <f t="shared" si="59"/>
        <v>0</v>
      </c>
      <c r="AX76" s="33">
        <f t="shared" si="60"/>
        <v>0</v>
      </c>
      <c r="AY76" s="34" t="s">
        <v>302</v>
      </c>
      <c r="AZ76" s="34" t="s">
        <v>310</v>
      </c>
      <c r="BA76" s="28" t="s">
        <v>312</v>
      </c>
      <c r="BC76" s="33">
        <f t="shared" si="61"/>
        <v>0</v>
      </c>
      <c r="BD76" s="33">
        <f t="shared" si="62"/>
        <v>0</v>
      </c>
      <c r="BE76" s="33">
        <v>0</v>
      </c>
      <c r="BF76" s="33">
        <f>76</f>
        <v>76</v>
      </c>
      <c r="BH76" s="17">
        <f t="shared" si="63"/>
        <v>0</v>
      </c>
      <c r="BI76" s="17">
        <f t="shared" si="64"/>
        <v>0</v>
      </c>
      <c r="BJ76" s="17">
        <f t="shared" si="65"/>
        <v>0</v>
      </c>
    </row>
    <row r="77" spans="1:62" x14ac:dyDescent="0.2">
      <c r="A77" s="4" t="s">
        <v>63</v>
      </c>
      <c r="B77" s="4" t="s">
        <v>142</v>
      </c>
      <c r="C77" s="103" t="s">
        <v>233</v>
      </c>
      <c r="D77" s="104"/>
      <c r="E77" s="104"/>
      <c r="F77" s="4" t="s">
        <v>267</v>
      </c>
      <c r="G77" s="68">
        <v>2</v>
      </c>
      <c r="H77" s="16">
        <v>0</v>
      </c>
      <c r="I77" s="16">
        <f t="shared" si="44"/>
        <v>0</v>
      </c>
      <c r="J77" s="16">
        <f t="shared" si="45"/>
        <v>0</v>
      </c>
      <c r="K77" s="16">
        <f t="shared" si="46"/>
        <v>0</v>
      </c>
      <c r="L77" s="27" t="s">
        <v>284</v>
      </c>
      <c r="Z77" s="33">
        <f t="shared" si="47"/>
        <v>0</v>
      </c>
      <c r="AB77" s="33">
        <f t="shared" si="48"/>
        <v>0</v>
      </c>
      <c r="AC77" s="33">
        <f t="shared" si="49"/>
        <v>0</v>
      </c>
      <c r="AD77" s="33">
        <f t="shared" si="50"/>
        <v>0</v>
      </c>
      <c r="AE77" s="33">
        <f t="shared" si="51"/>
        <v>0</v>
      </c>
      <c r="AF77" s="33">
        <f t="shared" si="52"/>
        <v>0</v>
      </c>
      <c r="AG77" s="33">
        <f t="shared" si="53"/>
        <v>0</v>
      </c>
      <c r="AH77" s="33">
        <f t="shared" si="54"/>
        <v>0</v>
      </c>
      <c r="AI77" s="28"/>
      <c r="AJ77" s="16">
        <f t="shared" si="55"/>
        <v>0</v>
      </c>
      <c r="AK77" s="16">
        <f t="shared" si="56"/>
        <v>0</v>
      </c>
      <c r="AL77" s="16">
        <f t="shared" si="57"/>
        <v>0</v>
      </c>
      <c r="AN77" s="33">
        <v>21</v>
      </c>
      <c r="AO77" s="33">
        <f>H77*0</f>
        <v>0</v>
      </c>
      <c r="AP77" s="33">
        <f>H77*(1-0)</f>
        <v>0</v>
      </c>
      <c r="AQ77" s="27" t="s">
        <v>7</v>
      </c>
      <c r="AV77" s="33">
        <f t="shared" si="58"/>
        <v>0</v>
      </c>
      <c r="AW77" s="33">
        <f t="shared" si="59"/>
        <v>0</v>
      </c>
      <c r="AX77" s="33">
        <f t="shared" si="60"/>
        <v>0</v>
      </c>
      <c r="AY77" s="34" t="s">
        <v>302</v>
      </c>
      <c r="AZ77" s="34" t="s">
        <v>310</v>
      </c>
      <c r="BA77" s="28" t="s">
        <v>312</v>
      </c>
      <c r="BC77" s="33">
        <f t="shared" si="61"/>
        <v>0</v>
      </c>
      <c r="BD77" s="33">
        <f t="shared" si="62"/>
        <v>0</v>
      </c>
      <c r="BE77" s="33">
        <v>0</v>
      </c>
      <c r="BF77" s="33">
        <f>77</f>
        <v>77</v>
      </c>
      <c r="BH77" s="16">
        <f t="shared" si="63"/>
        <v>0</v>
      </c>
      <c r="BI77" s="16">
        <f t="shared" si="64"/>
        <v>0</v>
      </c>
      <c r="BJ77" s="16">
        <f t="shared" si="65"/>
        <v>0</v>
      </c>
    </row>
    <row r="78" spans="1:62" x14ac:dyDescent="0.2">
      <c r="A78" s="6" t="s">
        <v>64</v>
      </c>
      <c r="B78" s="6" t="s">
        <v>143</v>
      </c>
      <c r="C78" s="107" t="s">
        <v>234</v>
      </c>
      <c r="D78" s="108"/>
      <c r="E78" s="108"/>
      <c r="F78" s="6" t="s">
        <v>267</v>
      </c>
      <c r="G78" s="71">
        <v>2</v>
      </c>
      <c r="H78" s="17">
        <v>0</v>
      </c>
      <c r="I78" s="17">
        <f t="shared" si="44"/>
        <v>0</v>
      </c>
      <c r="J78" s="17">
        <f t="shared" si="45"/>
        <v>0</v>
      </c>
      <c r="K78" s="17">
        <f t="shared" si="46"/>
        <v>0</v>
      </c>
      <c r="L78" s="29" t="s">
        <v>284</v>
      </c>
      <c r="Z78" s="33">
        <f t="shared" si="47"/>
        <v>0</v>
      </c>
      <c r="AB78" s="33">
        <f t="shared" si="48"/>
        <v>0</v>
      </c>
      <c r="AC78" s="33">
        <f t="shared" si="49"/>
        <v>0</v>
      </c>
      <c r="AD78" s="33">
        <f t="shared" si="50"/>
        <v>0</v>
      </c>
      <c r="AE78" s="33">
        <f t="shared" si="51"/>
        <v>0</v>
      </c>
      <c r="AF78" s="33">
        <f t="shared" si="52"/>
        <v>0</v>
      </c>
      <c r="AG78" s="33">
        <f t="shared" si="53"/>
        <v>0</v>
      </c>
      <c r="AH78" s="33">
        <f t="shared" si="54"/>
        <v>0</v>
      </c>
      <c r="AI78" s="28"/>
      <c r="AJ78" s="17">
        <f t="shared" si="55"/>
        <v>0</v>
      </c>
      <c r="AK78" s="17">
        <f t="shared" si="56"/>
        <v>0</v>
      </c>
      <c r="AL78" s="17">
        <f t="shared" si="57"/>
        <v>0</v>
      </c>
      <c r="AN78" s="33">
        <v>21</v>
      </c>
      <c r="AO78" s="33">
        <f>H78*1</f>
        <v>0</v>
      </c>
      <c r="AP78" s="33">
        <f>H78*(1-1)</f>
        <v>0</v>
      </c>
      <c r="AQ78" s="29" t="s">
        <v>7</v>
      </c>
      <c r="AV78" s="33">
        <f t="shared" si="58"/>
        <v>0</v>
      </c>
      <c r="AW78" s="33">
        <f t="shared" si="59"/>
        <v>0</v>
      </c>
      <c r="AX78" s="33">
        <f t="shared" si="60"/>
        <v>0</v>
      </c>
      <c r="AY78" s="34" t="s">
        <v>302</v>
      </c>
      <c r="AZ78" s="34" t="s">
        <v>310</v>
      </c>
      <c r="BA78" s="28" t="s">
        <v>312</v>
      </c>
      <c r="BC78" s="33">
        <f t="shared" si="61"/>
        <v>0</v>
      </c>
      <c r="BD78" s="33">
        <f t="shared" si="62"/>
        <v>0</v>
      </c>
      <c r="BE78" s="33">
        <v>0</v>
      </c>
      <c r="BF78" s="33">
        <f>78</f>
        <v>78</v>
      </c>
      <c r="BH78" s="17">
        <f t="shared" si="63"/>
        <v>0</v>
      </c>
      <c r="BI78" s="17">
        <f t="shared" si="64"/>
        <v>0</v>
      </c>
      <c r="BJ78" s="17">
        <f t="shared" si="65"/>
        <v>0</v>
      </c>
    </row>
    <row r="79" spans="1:62" x14ac:dyDescent="0.2">
      <c r="A79" s="4" t="s">
        <v>65</v>
      </c>
      <c r="B79" s="4" t="s">
        <v>144</v>
      </c>
      <c r="C79" s="103" t="s">
        <v>235</v>
      </c>
      <c r="D79" s="104"/>
      <c r="E79" s="104"/>
      <c r="F79" s="4" t="s">
        <v>264</v>
      </c>
      <c r="G79" s="68">
        <v>58.47</v>
      </c>
      <c r="H79" s="16">
        <v>0</v>
      </c>
      <c r="I79" s="16">
        <f t="shared" si="44"/>
        <v>0</v>
      </c>
      <c r="J79" s="16">
        <f t="shared" si="45"/>
        <v>0</v>
      </c>
      <c r="K79" s="16">
        <f t="shared" si="46"/>
        <v>0</v>
      </c>
      <c r="L79" s="27" t="s">
        <v>284</v>
      </c>
      <c r="Z79" s="33">
        <f t="shared" si="47"/>
        <v>0</v>
      </c>
      <c r="AB79" s="33">
        <f t="shared" si="48"/>
        <v>0</v>
      </c>
      <c r="AC79" s="33">
        <f t="shared" si="49"/>
        <v>0</v>
      </c>
      <c r="AD79" s="33">
        <f t="shared" si="50"/>
        <v>0</v>
      </c>
      <c r="AE79" s="33">
        <f t="shared" si="51"/>
        <v>0</v>
      </c>
      <c r="AF79" s="33">
        <f t="shared" si="52"/>
        <v>0</v>
      </c>
      <c r="AG79" s="33">
        <f t="shared" si="53"/>
        <v>0</v>
      </c>
      <c r="AH79" s="33">
        <f t="shared" si="54"/>
        <v>0</v>
      </c>
      <c r="AI79" s="28"/>
      <c r="AJ79" s="16">
        <f t="shared" si="55"/>
        <v>0</v>
      </c>
      <c r="AK79" s="16">
        <f t="shared" si="56"/>
        <v>0</v>
      </c>
      <c r="AL79" s="16">
        <f t="shared" si="57"/>
        <v>0</v>
      </c>
      <c r="AN79" s="33">
        <v>21</v>
      </c>
      <c r="AO79" s="33">
        <f>H79*0.0055240819965213</f>
        <v>0</v>
      </c>
      <c r="AP79" s="33">
        <f>H79*(1-0.0055240819965213)</f>
        <v>0</v>
      </c>
      <c r="AQ79" s="27" t="s">
        <v>7</v>
      </c>
      <c r="AV79" s="33">
        <f t="shared" si="58"/>
        <v>0</v>
      </c>
      <c r="AW79" s="33">
        <f t="shared" si="59"/>
        <v>0</v>
      </c>
      <c r="AX79" s="33">
        <f t="shared" si="60"/>
        <v>0</v>
      </c>
      <c r="AY79" s="34" t="s">
        <v>302</v>
      </c>
      <c r="AZ79" s="34" t="s">
        <v>310</v>
      </c>
      <c r="BA79" s="28" t="s">
        <v>312</v>
      </c>
      <c r="BC79" s="33">
        <f t="shared" si="61"/>
        <v>0</v>
      </c>
      <c r="BD79" s="33">
        <f t="shared" si="62"/>
        <v>0</v>
      </c>
      <c r="BE79" s="33">
        <v>0</v>
      </c>
      <c r="BF79" s="33">
        <f>79</f>
        <v>79</v>
      </c>
      <c r="BH79" s="16">
        <f t="shared" si="63"/>
        <v>0</v>
      </c>
      <c r="BI79" s="16">
        <f t="shared" si="64"/>
        <v>0</v>
      </c>
      <c r="BJ79" s="16">
        <f t="shared" si="65"/>
        <v>0</v>
      </c>
    </row>
    <row r="80" spans="1:62" x14ac:dyDescent="0.2">
      <c r="A80" s="4" t="s">
        <v>66</v>
      </c>
      <c r="B80" s="4" t="s">
        <v>145</v>
      </c>
      <c r="C80" s="103" t="s">
        <v>236</v>
      </c>
      <c r="D80" s="104"/>
      <c r="E80" s="104"/>
      <c r="F80" s="4" t="s">
        <v>264</v>
      </c>
      <c r="G80" s="68">
        <v>275.33</v>
      </c>
      <c r="H80" s="16">
        <v>0</v>
      </c>
      <c r="I80" s="16">
        <f t="shared" si="44"/>
        <v>0</v>
      </c>
      <c r="J80" s="16">
        <f t="shared" si="45"/>
        <v>0</v>
      </c>
      <c r="K80" s="16">
        <f t="shared" si="46"/>
        <v>0</v>
      </c>
      <c r="L80" s="27" t="s">
        <v>284</v>
      </c>
      <c r="Z80" s="33">
        <f t="shared" si="47"/>
        <v>0</v>
      </c>
      <c r="AB80" s="33">
        <f t="shared" si="48"/>
        <v>0</v>
      </c>
      <c r="AC80" s="33">
        <f t="shared" si="49"/>
        <v>0</v>
      </c>
      <c r="AD80" s="33">
        <f t="shared" si="50"/>
        <v>0</v>
      </c>
      <c r="AE80" s="33">
        <f t="shared" si="51"/>
        <v>0</v>
      </c>
      <c r="AF80" s="33">
        <f t="shared" si="52"/>
        <v>0</v>
      </c>
      <c r="AG80" s="33">
        <f t="shared" si="53"/>
        <v>0</v>
      </c>
      <c r="AH80" s="33">
        <f t="shared" si="54"/>
        <v>0</v>
      </c>
      <c r="AI80" s="28"/>
      <c r="AJ80" s="16">
        <f t="shared" si="55"/>
        <v>0</v>
      </c>
      <c r="AK80" s="16">
        <f t="shared" si="56"/>
        <v>0</v>
      </c>
      <c r="AL80" s="16">
        <f t="shared" si="57"/>
        <v>0</v>
      </c>
      <c r="AN80" s="33">
        <v>21</v>
      </c>
      <c r="AO80" s="33">
        <f>H80*0.0285850241729796</f>
        <v>0</v>
      </c>
      <c r="AP80" s="33">
        <f>H80*(1-0.0285850241729796)</f>
        <v>0</v>
      </c>
      <c r="AQ80" s="27" t="s">
        <v>7</v>
      </c>
      <c r="AV80" s="33">
        <f t="shared" si="58"/>
        <v>0</v>
      </c>
      <c r="AW80" s="33">
        <f t="shared" si="59"/>
        <v>0</v>
      </c>
      <c r="AX80" s="33">
        <f t="shared" si="60"/>
        <v>0</v>
      </c>
      <c r="AY80" s="34" t="s">
        <v>302</v>
      </c>
      <c r="AZ80" s="34" t="s">
        <v>310</v>
      </c>
      <c r="BA80" s="28" t="s">
        <v>312</v>
      </c>
      <c r="BC80" s="33">
        <f t="shared" si="61"/>
        <v>0</v>
      </c>
      <c r="BD80" s="33">
        <f t="shared" si="62"/>
        <v>0</v>
      </c>
      <c r="BE80" s="33">
        <v>0</v>
      </c>
      <c r="BF80" s="33">
        <f>80</f>
        <v>80</v>
      </c>
      <c r="BH80" s="16">
        <f t="shared" si="63"/>
        <v>0</v>
      </c>
      <c r="BI80" s="16">
        <f t="shared" si="64"/>
        <v>0</v>
      </c>
      <c r="BJ80" s="16">
        <f t="shared" si="65"/>
        <v>0</v>
      </c>
    </row>
    <row r="81" spans="1:62" x14ac:dyDescent="0.2">
      <c r="A81" s="4" t="s">
        <v>67</v>
      </c>
      <c r="B81" s="4" t="s">
        <v>146</v>
      </c>
      <c r="C81" s="103" t="s">
        <v>237</v>
      </c>
      <c r="D81" s="104"/>
      <c r="E81" s="104"/>
      <c r="F81" s="4" t="s">
        <v>264</v>
      </c>
      <c r="G81" s="68">
        <v>333.8</v>
      </c>
      <c r="H81" s="16">
        <v>0</v>
      </c>
      <c r="I81" s="16">
        <f t="shared" si="44"/>
        <v>0</v>
      </c>
      <c r="J81" s="16">
        <f t="shared" si="45"/>
        <v>0</v>
      </c>
      <c r="K81" s="16">
        <f t="shared" si="46"/>
        <v>0</v>
      </c>
      <c r="L81" s="27" t="s">
        <v>284</v>
      </c>
      <c r="Z81" s="33">
        <f t="shared" si="47"/>
        <v>0</v>
      </c>
      <c r="AB81" s="33">
        <f t="shared" si="48"/>
        <v>0</v>
      </c>
      <c r="AC81" s="33">
        <f t="shared" si="49"/>
        <v>0</v>
      </c>
      <c r="AD81" s="33">
        <f t="shared" si="50"/>
        <v>0</v>
      </c>
      <c r="AE81" s="33">
        <f t="shared" si="51"/>
        <v>0</v>
      </c>
      <c r="AF81" s="33">
        <f t="shared" si="52"/>
        <v>0</v>
      </c>
      <c r="AG81" s="33">
        <f t="shared" si="53"/>
        <v>0</v>
      </c>
      <c r="AH81" s="33">
        <f t="shared" si="54"/>
        <v>0</v>
      </c>
      <c r="AI81" s="28"/>
      <c r="AJ81" s="16">
        <f t="shared" si="55"/>
        <v>0</v>
      </c>
      <c r="AK81" s="16">
        <f t="shared" si="56"/>
        <v>0</v>
      </c>
      <c r="AL81" s="16">
        <f t="shared" si="57"/>
        <v>0</v>
      </c>
      <c r="AN81" s="33">
        <v>21</v>
      </c>
      <c r="AO81" s="33">
        <f>H81*0.0239800995024876</f>
        <v>0</v>
      </c>
      <c r="AP81" s="33">
        <f>H81*(1-0.0239800995024876)</f>
        <v>0</v>
      </c>
      <c r="AQ81" s="27" t="s">
        <v>7</v>
      </c>
      <c r="AV81" s="33">
        <f t="shared" si="58"/>
        <v>0</v>
      </c>
      <c r="AW81" s="33">
        <f t="shared" si="59"/>
        <v>0</v>
      </c>
      <c r="AX81" s="33">
        <f t="shared" si="60"/>
        <v>0</v>
      </c>
      <c r="AY81" s="34" t="s">
        <v>302</v>
      </c>
      <c r="AZ81" s="34" t="s">
        <v>310</v>
      </c>
      <c r="BA81" s="28" t="s">
        <v>312</v>
      </c>
      <c r="BC81" s="33">
        <f t="shared" si="61"/>
        <v>0</v>
      </c>
      <c r="BD81" s="33">
        <f t="shared" si="62"/>
        <v>0</v>
      </c>
      <c r="BE81" s="33">
        <v>0</v>
      </c>
      <c r="BF81" s="33">
        <f>81</f>
        <v>81</v>
      </c>
      <c r="BH81" s="16">
        <f t="shared" si="63"/>
        <v>0</v>
      </c>
      <c r="BI81" s="16">
        <f t="shared" si="64"/>
        <v>0</v>
      </c>
      <c r="BJ81" s="16">
        <f t="shared" si="65"/>
        <v>0</v>
      </c>
    </row>
    <row r="82" spans="1:62" x14ac:dyDescent="0.2">
      <c r="A82" s="4" t="s">
        <v>68</v>
      </c>
      <c r="B82" s="4" t="s">
        <v>147</v>
      </c>
      <c r="C82" s="103" t="s">
        <v>238</v>
      </c>
      <c r="D82" s="104"/>
      <c r="E82" s="104"/>
      <c r="F82" s="4" t="s">
        <v>268</v>
      </c>
      <c r="G82" s="68">
        <v>1</v>
      </c>
      <c r="H82" s="16">
        <v>0</v>
      </c>
      <c r="I82" s="16">
        <f t="shared" si="44"/>
        <v>0</v>
      </c>
      <c r="J82" s="16">
        <f t="shared" si="45"/>
        <v>0</v>
      </c>
      <c r="K82" s="16">
        <f t="shared" si="46"/>
        <v>0</v>
      </c>
      <c r="L82" s="27" t="s">
        <v>284</v>
      </c>
      <c r="Z82" s="33">
        <f t="shared" si="47"/>
        <v>0</v>
      </c>
      <c r="AB82" s="33">
        <f t="shared" si="48"/>
        <v>0</v>
      </c>
      <c r="AC82" s="33">
        <f t="shared" si="49"/>
        <v>0</v>
      </c>
      <c r="AD82" s="33">
        <f t="shared" si="50"/>
        <v>0</v>
      </c>
      <c r="AE82" s="33">
        <f t="shared" si="51"/>
        <v>0</v>
      </c>
      <c r="AF82" s="33">
        <f t="shared" si="52"/>
        <v>0</v>
      </c>
      <c r="AG82" s="33">
        <f t="shared" si="53"/>
        <v>0</v>
      </c>
      <c r="AH82" s="33">
        <f t="shared" si="54"/>
        <v>0</v>
      </c>
      <c r="AI82" s="28"/>
      <c r="AJ82" s="16">
        <f t="shared" si="55"/>
        <v>0</v>
      </c>
      <c r="AK82" s="16">
        <f t="shared" si="56"/>
        <v>0</v>
      </c>
      <c r="AL82" s="16">
        <f t="shared" si="57"/>
        <v>0</v>
      </c>
      <c r="AN82" s="33">
        <v>21</v>
      </c>
      <c r="AO82" s="33">
        <f>H82*0.382657687991021</f>
        <v>0</v>
      </c>
      <c r="AP82" s="33">
        <f>H82*(1-0.382657687991021)</f>
        <v>0</v>
      </c>
      <c r="AQ82" s="27" t="s">
        <v>7</v>
      </c>
      <c r="AV82" s="33">
        <f t="shared" si="58"/>
        <v>0</v>
      </c>
      <c r="AW82" s="33">
        <f t="shared" si="59"/>
        <v>0</v>
      </c>
      <c r="AX82" s="33">
        <f t="shared" si="60"/>
        <v>0</v>
      </c>
      <c r="AY82" s="34" t="s">
        <v>302</v>
      </c>
      <c r="AZ82" s="34" t="s">
        <v>310</v>
      </c>
      <c r="BA82" s="28" t="s">
        <v>312</v>
      </c>
      <c r="BC82" s="33">
        <f t="shared" si="61"/>
        <v>0</v>
      </c>
      <c r="BD82" s="33">
        <f t="shared" si="62"/>
        <v>0</v>
      </c>
      <c r="BE82" s="33">
        <v>0</v>
      </c>
      <c r="BF82" s="33">
        <f>82</f>
        <v>82</v>
      </c>
      <c r="BH82" s="16">
        <f t="shared" si="63"/>
        <v>0</v>
      </c>
      <c r="BI82" s="16">
        <f t="shared" si="64"/>
        <v>0</v>
      </c>
      <c r="BJ82" s="16">
        <f t="shared" si="65"/>
        <v>0</v>
      </c>
    </row>
    <row r="83" spans="1:62" x14ac:dyDescent="0.2">
      <c r="A83" s="4" t="s">
        <v>69</v>
      </c>
      <c r="B83" s="4" t="s">
        <v>148</v>
      </c>
      <c r="C83" s="103" t="s">
        <v>239</v>
      </c>
      <c r="D83" s="104"/>
      <c r="E83" s="104"/>
      <c r="F83" s="4" t="s">
        <v>268</v>
      </c>
      <c r="G83" s="68">
        <v>1</v>
      </c>
      <c r="H83" s="16">
        <v>0</v>
      </c>
      <c r="I83" s="16">
        <f t="shared" si="44"/>
        <v>0</v>
      </c>
      <c r="J83" s="16">
        <f t="shared" si="45"/>
        <v>0</v>
      </c>
      <c r="K83" s="16">
        <f t="shared" si="46"/>
        <v>0</v>
      </c>
      <c r="L83" s="27" t="s">
        <v>284</v>
      </c>
      <c r="Z83" s="33">
        <f t="shared" si="47"/>
        <v>0</v>
      </c>
      <c r="AB83" s="33">
        <f t="shared" si="48"/>
        <v>0</v>
      </c>
      <c r="AC83" s="33">
        <f t="shared" si="49"/>
        <v>0</v>
      </c>
      <c r="AD83" s="33">
        <f t="shared" si="50"/>
        <v>0</v>
      </c>
      <c r="AE83" s="33">
        <f t="shared" si="51"/>
        <v>0</v>
      </c>
      <c r="AF83" s="33">
        <f t="shared" si="52"/>
        <v>0</v>
      </c>
      <c r="AG83" s="33">
        <f t="shared" si="53"/>
        <v>0</v>
      </c>
      <c r="AH83" s="33">
        <f t="shared" si="54"/>
        <v>0</v>
      </c>
      <c r="AI83" s="28"/>
      <c r="AJ83" s="16">
        <f t="shared" si="55"/>
        <v>0</v>
      </c>
      <c r="AK83" s="16">
        <f t="shared" si="56"/>
        <v>0</v>
      </c>
      <c r="AL83" s="16">
        <f t="shared" si="57"/>
        <v>0</v>
      </c>
      <c r="AN83" s="33">
        <v>21</v>
      </c>
      <c r="AO83" s="33">
        <f>H83*0.218093333333333</f>
        <v>0</v>
      </c>
      <c r="AP83" s="33">
        <f>H83*(1-0.218093333333333)</f>
        <v>0</v>
      </c>
      <c r="AQ83" s="27" t="s">
        <v>7</v>
      </c>
      <c r="AV83" s="33">
        <f t="shared" si="58"/>
        <v>0</v>
      </c>
      <c r="AW83" s="33">
        <f t="shared" si="59"/>
        <v>0</v>
      </c>
      <c r="AX83" s="33">
        <f t="shared" si="60"/>
        <v>0</v>
      </c>
      <c r="AY83" s="34" t="s">
        <v>302</v>
      </c>
      <c r="AZ83" s="34" t="s">
        <v>310</v>
      </c>
      <c r="BA83" s="28" t="s">
        <v>312</v>
      </c>
      <c r="BC83" s="33">
        <f t="shared" si="61"/>
        <v>0</v>
      </c>
      <c r="BD83" s="33">
        <f t="shared" si="62"/>
        <v>0</v>
      </c>
      <c r="BE83" s="33">
        <v>0</v>
      </c>
      <c r="BF83" s="33">
        <f>83</f>
        <v>83</v>
      </c>
      <c r="BH83" s="16">
        <f t="shared" si="63"/>
        <v>0</v>
      </c>
      <c r="BI83" s="16">
        <f t="shared" si="64"/>
        <v>0</v>
      </c>
      <c r="BJ83" s="16">
        <f t="shared" si="65"/>
        <v>0</v>
      </c>
    </row>
    <row r="84" spans="1:62" x14ac:dyDescent="0.2">
      <c r="A84" s="4" t="s">
        <v>70</v>
      </c>
      <c r="B84" s="4" t="s">
        <v>149</v>
      </c>
      <c r="C84" s="103" t="s">
        <v>240</v>
      </c>
      <c r="D84" s="104"/>
      <c r="E84" s="104"/>
      <c r="F84" s="4" t="s">
        <v>267</v>
      </c>
      <c r="G84" s="68">
        <v>1</v>
      </c>
      <c r="H84" s="16">
        <v>0</v>
      </c>
      <c r="I84" s="16">
        <f t="shared" si="44"/>
        <v>0</v>
      </c>
      <c r="J84" s="16">
        <f t="shared" si="45"/>
        <v>0</v>
      </c>
      <c r="K84" s="16">
        <f t="shared" si="46"/>
        <v>0</v>
      </c>
      <c r="L84" s="27" t="s">
        <v>284</v>
      </c>
      <c r="Z84" s="33">
        <f t="shared" si="47"/>
        <v>0</v>
      </c>
      <c r="AB84" s="33">
        <f t="shared" si="48"/>
        <v>0</v>
      </c>
      <c r="AC84" s="33">
        <f t="shared" si="49"/>
        <v>0</v>
      </c>
      <c r="AD84" s="33">
        <f t="shared" si="50"/>
        <v>0</v>
      </c>
      <c r="AE84" s="33">
        <f t="shared" si="51"/>
        <v>0</v>
      </c>
      <c r="AF84" s="33">
        <f t="shared" si="52"/>
        <v>0</v>
      </c>
      <c r="AG84" s="33">
        <f t="shared" si="53"/>
        <v>0</v>
      </c>
      <c r="AH84" s="33">
        <f t="shared" si="54"/>
        <v>0</v>
      </c>
      <c r="AI84" s="28"/>
      <c r="AJ84" s="16">
        <f t="shared" si="55"/>
        <v>0</v>
      </c>
      <c r="AK84" s="16">
        <f t="shared" si="56"/>
        <v>0</v>
      </c>
      <c r="AL84" s="16">
        <f t="shared" si="57"/>
        <v>0</v>
      </c>
      <c r="AN84" s="33">
        <v>21</v>
      </c>
      <c r="AO84" s="33">
        <f>H84*0.218090909090909</f>
        <v>0</v>
      </c>
      <c r="AP84" s="33">
        <f>H84*(1-0.218090909090909)</f>
        <v>0</v>
      </c>
      <c r="AQ84" s="27" t="s">
        <v>7</v>
      </c>
      <c r="AV84" s="33">
        <f t="shared" si="58"/>
        <v>0</v>
      </c>
      <c r="AW84" s="33">
        <f t="shared" si="59"/>
        <v>0</v>
      </c>
      <c r="AX84" s="33">
        <f t="shared" si="60"/>
        <v>0</v>
      </c>
      <c r="AY84" s="34" t="s">
        <v>302</v>
      </c>
      <c r="AZ84" s="34" t="s">
        <v>310</v>
      </c>
      <c r="BA84" s="28" t="s">
        <v>312</v>
      </c>
      <c r="BC84" s="33">
        <f t="shared" si="61"/>
        <v>0</v>
      </c>
      <c r="BD84" s="33">
        <f t="shared" si="62"/>
        <v>0</v>
      </c>
      <c r="BE84" s="33">
        <v>0</v>
      </c>
      <c r="BF84" s="33">
        <f>84</f>
        <v>84</v>
      </c>
      <c r="BH84" s="16">
        <f t="shared" si="63"/>
        <v>0</v>
      </c>
      <c r="BI84" s="16">
        <f t="shared" si="64"/>
        <v>0</v>
      </c>
      <c r="BJ84" s="16">
        <f t="shared" si="65"/>
        <v>0</v>
      </c>
    </row>
    <row r="85" spans="1:62" x14ac:dyDescent="0.2">
      <c r="A85" s="4" t="s">
        <v>71</v>
      </c>
      <c r="B85" s="4" t="s">
        <v>150</v>
      </c>
      <c r="C85" s="103" t="s">
        <v>241</v>
      </c>
      <c r="D85" s="104"/>
      <c r="E85" s="104"/>
      <c r="F85" s="4" t="s">
        <v>267</v>
      </c>
      <c r="G85" s="68">
        <v>17</v>
      </c>
      <c r="H85" s="16">
        <v>0</v>
      </c>
      <c r="I85" s="16">
        <f t="shared" si="44"/>
        <v>0</v>
      </c>
      <c r="J85" s="16">
        <f t="shared" si="45"/>
        <v>0</v>
      </c>
      <c r="K85" s="16">
        <f t="shared" si="46"/>
        <v>0</v>
      </c>
      <c r="L85" s="27" t="s">
        <v>284</v>
      </c>
      <c r="Z85" s="33">
        <f t="shared" si="47"/>
        <v>0</v>
      </c>
      <c r="AB85" s="33">
        <f t="shared" si="48"/>
        <v>0</v>
      </c>
      <c r="AC85" s="33">
        <f t="shared" si="49"/>
        <v>0</v>
      </c>
      <c r="AD85" s="33">
        <f t="shared" si="50"/>
        <v>0</v>
      </c>
      <c r="AE85" s="33">
        <f t="shared" si="51"/>
        <v>0</v>
      </c>
      <c r="AF85" s="33">
        <f t="shared" si="52"/>
        <v>0</v>
      </c>
      <c r="AG85" s="33">
        <f t="shared" si="53"/>
        <v>0</v>
      </c>
      <c r="AH85" s="33">
        <f t="shared" si="54"/>
        <v>0</v>
      </c>
      <c r="AI85" s="28"/>
      <c r="AJ85" s="16">
        <f t="shared" si="55"/>
        <v>0</v>
      </c>
      <c r="AK85" s="16">
        <f t="shared" si="56"/>
        <v>0</v>
      </c>
      <c r="AL85" s="16">
        <f t="shared" si="57"/>
        <v>0</v>
      </c>
      <c r="AN85" s="33">
        <v>21</v>
      </c>
      <c r="AO85" s="33">
        <f>H85*0.880748062015504</f>
        <v>0</v>
      </c>
      <c r="AP85" s="33">
        <f>H85*(1-0.880748062015504)</f>
        <v>0</v>
      </c>
      <c r="AQ85" s="27" t="s">
        <v>7</v>
      </c>
      <c r="AV85" s="33">
        <f t="shared" si="58"/>
        <v>0</v>
      </c>
      <c r="AW85" s="33">
        <f t="shared" si="59"/>
        <v>0</v>
      </c>
      <c r="AX85" s="33">
        <f t="shared" si="60"/>
        <v>0</v>
      </c>
      <c r="AY85" s="34" t="s">
        <v>302</v>
      </c>
      <c r="AZ85" s="34" t="s">
        <v>310</v>
      </c>
      <c r="BA85" s="28" t="s">
        <v>312</v>
      </c>
      <c r="BC85" s="33">
        <f t="shared" si="61"/>
        <v>0</v>
      </c>
      <c r="BD85" s="33">
        <f t="shared" si="62"/>
        <v>0</v>
      </c>
      <c r="BE85" s="33">
        <v>0</v>
      </c>
      <c r="BF85" s="33">
        <f>85</f>
        <v>85</v>
      </c>
      <c r="BH85" s="16">
        <f t="shared" si="63"/>
        <v>0</v>
      </c>
      <c r="BI85" s="16">
        <f t="shared" si="64"/>
        <v>0</v>
      </c>
      <c r="BJ85" s="16">
        <f t="shared" si="65"/>
        <v>0</v>
      </c>
    </row>
    <row r="86" spans="1:62" x14ac:dyDescent="0.2">
      <c r="A86" s="4" t="s">
        <v>72</v>
      </c>
      <c r="B86" s="4" t="s">
        <v>151</v>
      </c>
      <c r="C86" s="103" t="s">
        <v>242</v>
      </c>
      <c r="D86" s="104"/>
      <c r="E86" s="104"/>
      <c r="F86" s="4" t="s">
        <v>267</v>
      </c>
      <c r="G86" s="68">
        <v>20</v>
      </c>
      <c r="H86" s="16">
        <v>0</v>
      </c>
      <c r="I86" s="16">
        <f t="shared" si="44"/>
        <v>0</v>
      </c>
      <c r="J86" s="16">
        <f t="shared" si="45"/>
        <v>0</v>
      </c>
      <c r="K86" s="16">
        <f t="shared" si="46"/>
        <v>0</v>
      </c>
      <c r="L86" s="27" t="s">
        <v>284</v>
      </c>
      <c r="Z86" s="33">
        <f t="shared" si="47"/>
        <v>0</v>
      </c>
      <c r="AB86" s="33">
        <f t="shared" si="48"/>
        <v>0</v>
      </c>
      <c r="AC86" s="33">
        <f t="shared" si="49"/>
        <v>0</v>
      </c>
      <c r="AD86" s="33">
        <f t="shared" si="50"/>
        <v>0</v>
      </c>
      <c r="AE86" s="33">
        <f t="shared" si="51"/>
        <v>0</v>
      </c>
      <c r="AF86" s="33">
        <f t="shared" si="52"/>
        <v>0</v>
      </c>
      <c r="AG86" s="33">
        <f t="shared" si="53"/>
        <v>0</v>
      </c>
      <c r="AH86" s="33">
        <f t="shared" si="54"/>
        <v>0</v>
      </c>
      <c r="AI86" s="28"/>
      <c r="AJ86" s="16">
        <f t="shared" si="55"/>
        <v>0</v>
      </c>
      <c r="AK86" s="16">
        <f t="shared" si="56"/>
        <v>0</v>
      </c>
      <c r="AL86" s="16">
        <f t="shared" si="57"/>
        <v>0</v>
      </c>
      <c r="AN86" s="33">
        <v>21</v>
      </c>
      <c r="AO86" s="33">
        <f>H86*0.356932544629831</f>
        <v>0</v>
      </c>
      <c r="AP86" s="33">
        <f>H86*(1-0.356932544629831)</f>
        <v>0</v>
      </c>
      <c r="AQ86" s="27" t="s">
        <v>7</v>
      </c>
      <c r="AV86" s="33">
        <f t="shared" si="58"/>
        <v>0</v>
      </c>
      <c r="AW86" s="33">
        <f t="shared" si="59"/>
        <v>0</v>
      </c>
      <c r="AX86" s="33">
        <f t="shared" si="60"/>
        <v>0</v>
      </c>
      <c r="AY86" s="34" t="s">
        <v>302</v>
      </c>
      <c r="AZ86" s="34" t="s">
        <v>310</v>
      </c>
      <c r="BA86" s="28" t="s">
        <v>312</v>
      </c>
      <c r="BC86" s="33">
        <f t="shared" si="61"/>
        <v>0</v>
      </c>
      <c r="BD86" s="33">
        <f t="shared" si="62"/>
        <v>0</v>
      </c>
      <c r="BE86" s="33">
        <v>0</v>
      </c>
      <c r="BF86" s="33">
        <f>86</f>
        <v>86</v>
      </c>
      <c r="BH86" s="16">
        <f t="shared" si="63"/>
        <v>0</v>
      </c>
      <c r="BI86" s="16">
        <f t="shared" si="64"/>
        <v>0</v>
      </c>
      <c r="BJ86" s="16">
        <f t="shared" si="65"/>
        <v>0</v>
      </c>
    </row>
    <row r="87" spans="1:62" x14ac:dyDescent="0.2">
      <c r="A87" s="4" t="s">
        <v>73</v>
      </c>
      <c r="B87" s="4" t="s">
        <v>152</v>
      </c>
      <c r="C87" s="103" t="s">
        <v>243</v>
      </c>
      <c r="D87" s="104"/>
      <c r="E87" s="104"/>
      <c r="F87" s="4" t="s">
        <v>264</v>
      </c>
      <c r="G87" s="68">
        <v>333.8</v>
      </c>
      <c r="H87" s="16">
        <v>0</v>
      </c>
      <c r="I87" s="16">
        <f t="shared" si="44"/>
        <v>0</v>
      </c>
      <c r="J87" s="16">
        <f t="shared" si="45"/>
        <v>0</v>
      </c>
      <c r="K87" s="16">
        <f t="shared" si="46"/>
        <v>0</v>
      </c>
      <c r="L87" s="27" t="s">
        <v>284</v>
      </c>
      <c r="Z87" s="33">
        <f t="shared" si="47"/>
        <v>0</v>
      </c>
      <c r="AB87" s="33">
        <f t="shared" si="48"/>
        <v>0</v>
      </c>
      <c r="AC87" s="33">
        <f t="shared" si="49"/>
        <v>0</v>
      </c>
      <c r="AD87" s="33">
        <f t="shared" si="50"/>
        <v>0</v>
      </c>
      <c r="AE87" s="33">
        <f t="shared" si="51"/>
        <v>0</v>
      </c>
      <c r="AF87" s="33">
        <f t="shared" si="52"/>
        <v>0</v>
      </c>
      <c r="AG87" s="33">
        <f t="shared" si="53"/>
        <v>0</v>
      </c>
      <c r="AH87" s="33">
        <f t="shared" si="54"/>
        <v>0</v>
      </c>
      <c r="AI87" s="28"/>
      <c r="AJ87" s="16">
        <f t="shared" si="55"/>
        <v>0</v>
      </c>
      <c r="AK87" s="16">
        <f t="shared" si="56"/>
        <v>0</v>
      </c>
      <c r="AL87" s="16">
        <f t="shared" si="57"/>
        <v>0</v>
      </c>
      <c r="AN87" s="33">
        <v>21</v>
      </c>
      <c r="AO87" s="33">
        <f>H87*0.239938080495356</f>
        <v>0</v>
      </c>
      <c r="AP87" s="33">
        <f>H87*(1-0.239938080495356)</f>
        <v>0</v>
      </c>
      <c r="AQ87" s="27" t="s">
        <v>7</v>
      </c>
      <c r="AV87" s="33">
        <f t="shared" si="58"/>
        <v>0</v>
      </c>
      <c r="AW87" s="33">
        <f t="shared" si="59"/>
        <v>0</v>
      </c>
      <c r="AX87" s="33">
        <f t="shared" si="60"/>
        <v>0</v>
      </c>
      <c r="AY87" s="34" t="s">
        <v>302</v>
      </c>
      <c r="AZ87" s="34" t="s">
        <v>310</v>
      </c>
      <c r="BA87" s="28" t="s">
        <v>312</v>
      </c>
      <c r="BC87" s="33">
        <f t="shared" si="61"/>
        <v>0</v>
      </c>
      <c r="BD87" s="33">
        <f t="shared" si="62"/>
        <v>0</v>
      </c>
      <c r="BE87" s="33">
        <v>0</v>
      </c>
      <c r="BF87" s="33">
        <f>87</f>
        <v>87</v>
      </c>
      <c r="BH87" s="16">
        <f t="shared" si="63"/>
        <v>0</v>
      </c>
      <c r="BI87" s="16">
        <f t="shared" si="64"/>
        <v>0</v>
      </c>
      <c r="BJ87" s="16">
        <f t="shared" si="65"/>
        <v>0</v>
      </c>
    </row>
    <row r="88" spans="1:62" x14ac:dyDescent="0.2">
      <c r="A88" s="4" t="s">
        <v>74</v>
      </c>
      <c r="B88" s="4" t="s">
        <v>153</v>
      </c>
      <c r="C88" s="103" t="s">
        <v>244</v>
      </c>
      <c r="D88" s="104"/>
      <c r="E88" s="104"/>
      <c r="F88" s="4" t="s">
        <v>264</v>
      </c>
      <c r="G88" s="68">
        <v>333.8</v>
      </c>
      <c r="H88" s="16">
        <v>0</v>
      </c>
      <c r="I88" s="16">
        <f t="shared" si="44"/>
        <v>0</v>
      </c>
      <c r="J88" s="16">
        <f t="shared" si="45"/>
        <v>0</v>
      </c>
      <c r="K88" s="16">
        <f t="shared" si="46"/>
        <v>0</v>
      </c>
      <c r="L88" s="27" t="s">
        <v>284</v>
      </c>
      <c r="Z88" s="33">
        <f t="shared" si="47"/>
        <v>0</v>
      </c>
      <c r="AB88" s="33">
        <f t="shared" si="48"/>
        <v>0</v>
      </c>
      <c r="AC88" s="33">
        <f t="shared" si="49"/>
        <v>0</v>
      </c>
      <c r="AD88" s="33">
        <f t="shared" si="50"/>
        <v>0</v>
      </c>
      <c r="AE88" s="33">
        <f t="shared" si="51"/>
        <v>0</v>
      </c>
      <c r="AF88" s="33">
        <f t="shared" si="52"/>
        <v>0</v>
      </c>
      <c r="AG88" s="33">
        <f t="shared" si="53"/>
        <v>0</v>
      </c>
      <c r="AH88" s="33">
        <f t="shared" si="54"/>
        <v>0</v>
      </c>
      <c r="AI88" s="28"/>
      <c r="AJ88" s="16">
        <f t="shared" si="55"/>
        <v>0</v>
      </c>
      <c r="AK88" s="16">
        <f t="shared" si="56"/>
        <v>0</v>
      </c>
      <c r="AL88" s="16">
        <f t="shared" si="57"/>
        <v>0</v>
      </c>
      <c r="AN88" s="33">
        <v>21</v>
      </c>
      <c r="AO88" s="33">
        <f>H88*0.423114355231144</f>
        <v>0</v>
      </c>
      <c r="AP88" s="33">
        <f>H88*(1-0.423114355231144)</f>
        <v>0</v>
      </c>
      <c r="AQ88" s="27" t="s">
        <v>7</v>
      </c>
      <c r="AV88" s="33">
        <f t="shared" si="58"/>
        <v>0</v>
      </c>
      <c r="AW88" s="33">
        <f t="shared" si="59"/>
        <v>0</v>
      </c>
      <c r="AX88" s="33">
        <f t="shared" si="60"/>
        <v>0</v>
      </c>
      <c r="AY88" s="34" t="s">
        <v>302</v>
      </c>
      <c r="AZ88" s="34" t="s">
        <v>310</v>
      </c>
      <c r="BA88" s="28" t="s">
        <v>312</v>
      </c>
      <c r="BC88" s="33">
        <f t="shared" si="61"/>
        <v>0</v>
      </c>
      <c r="BD88" s="33">
        <f t="shared" si="62"/>
        <v>0</v>
      </c>
      <c r="BE88" s="33">
        <v>0</v>
      </c>
      <c r="BF88" s="33">
        <f>88</f>
        <v>88</v>
      </c>
      <c r="BH88" s="16">
        <f t="shared" si="63"/>
        <v>0</v>
      </c>
      <c r="BI88" s="16">
        <f t="shared" si="64"/>
        <v>0</v>
      </c>
      <c r="BJ88" s="16">
        <f t="shared" si="65"/>
        <v>0</v>
      </c>
    </row>
    <row r="89" spans="1:62" x14ac:dyDescent="0.2">
      <c r="A89" s="5"/>
      <c r="B89" s="13" t="s">
        <v>154</v>
      </c>
      <c r="C89" s="105" t="s">
        <v>245</v>
      </c>
      <c r="D89" s="106"/>
      <c r="E89" s="106"/>
      <c r="F89" s="5" t="s">
        <v>6</v>
      </c>
      <c r="G89" s="5" t="s">
        <v>6</v>
      </c>
      <c r="H89" s="5" t="s">
        <v>6</v>
      </c>
      <c r="I89" s="36">
        <f>SUM(I90:I93)</f>
        <v>0</v>
      </c>
      <c r="J89" s="36">
        <f>SUM(J90:J93)</f>
        <v>0</v>
      </c>
      <c r="K89" s="36">
        <f>SUM(K90:K93)</f>
        <v>0</v>
      </c>
      <c r="L89" s="28"/>
      <c r="AI89" s="28"/>
      <c r="AS89" s="36">
        <f>SUM(AJ90:AJ93)</f>
        <v>0</v>
      </c>
      <c r="AT89" s="36">
        <f>SUM(AK90:AK93)</f>
        <v>0</v>
      </c>
      <c r="AU89" s="36">
        <f>SUM(AL90:AL93)</f>
        <v>0</v>
      </c>
    </row>
    <row r="90" spans="1:62" x14ac:dyDescent="0.2">
      <c r="A90" s="4" t="s">
        <v>75</v>
      </c>
      <c r="B90" s="4" t="s">
        <v>155</v>
      </c>
      <c r="C90" s="103" t="s">
        <v>246</v>
      </c>
      <c r="D90" s="104"/>
      <c r="E90" s="104"/>
      <c r="F90" s="4" t="s">
        <v>266</v>
      </c>
      <c r="G90" s="68">
        <v>60.058999999999997</v>
      </c>
      <c r="H90" s="16">
        <v>0</v>
      </c>
      <c r="I90" s="16">
        <f>G90*AO90</f>
        <v>0</v>
      </c>
      <c r="J90" s="16">
        <f>G90*AP90</f>
        <v>0</v>
      </c>
      <c r="K90" s="16">
        <f>G90*H90</f>
        <v>0</v>
      </c>
      <c r="L90" s="27" t="s">
        <v>284</v>
      </c>
      <c r="Z90" s="33">
        <f>IF(AQ90="5",BJ90,0)</f>
        <v>0</v>
      </c>
      <c r="AB90" s="33">
        <f>IF(AQ90="1",BH90,0)</f>
        <v>0</v>
      </c>
      <c r="AC90" s="33">
        <f>IF(AQ90="1",BI90,0)</f>
        <v>0</v>
      </c>
      <c r="AD90" s="33">
        <f>IF(AQ90="7",BH90,0)</f>
        <v>0</v>
      </c>
      <c r="AE90" s="33">
        <f>IF(AQ90="7",BI90,0)</f>
        <v>0</v>
      </c>
      <c r="AF90" s="33">
        <f>IF(AQ90="2",BH90,0)</f>
        <v>0</v>
      </c>
      <c r="AG90" s="33">
        <f>IF(AQ90="2",BI90,0)</f>
        <v>0</v>
      </c>
      <c r="AH90" s="33">
        <f>IF(AQ90="0",BJ90,0)</f>
        <v>0</v>
      </c>
      <c r="AI90" s="28"/>
      <c r="AJ90" s="16">
        <f>IF(AN90=0,K90,0)</f>
        <v>0</v>
      </c>
      <c r="AK90" s="16">
        <f>IF(AN90=15,K90,0)</f>
        <v>0</v>
      </c>
      <c r="AL90" s="16">
        <f>IF(AN90=21,K90,0)</f>
        <v>0</v>
      </c>
      <c r="AN90" s="33">
        <v>21</v>
      </c>
      <c r="AO90" s="33">
        <f>H90*0</f>
        <v>0</v>
      </c>
      <c r="AP90" s="33">
        <f>H90*(1-0)</f>
        <v>0</v>
      </c>
      <c r="AQ90" s="27" t="s">
        <v>11</v>
      </c>
      <c r="AV90" s="33">
        <f>AW90+AX90</f>
        <v>0</v>
      </c>
      <c r="AW90" s="33">
        <f>G90*AO90</f>
        <v>0</v>
      </c>
      <c r="AX90" s="33">
        <f>G90*AP90</f>
        <v>0</v>
      </c>
      <c r="AY90" s="34" t="s">
        <v>303</v>
      </c>
      <c r="AZ90" s="34" t="s">
        <v>311</v>
      </c>
      <c r="BA90" s="28" t="s">
        <v>312</v>
      </c>
      <c r="BC90" s="33">
        <f>AW90+AX90</f>
        <v>0</v>
      </c>
      <c r="BD90" s="33">
        <f>H90/(100-BE90)*100</f>
        <v>0</v>
      </c>
      <c r="BE90" s="33">
        <v>0</v>
      </c>
      <c r="BF90" s="33">
        <f>90</f>
        <v>90</v>
      </c>
      <c r="BH90" s="16">
        <f>G90*AO90</f>
        <v>0</v>
      </c>
      <c r="BI90" s="16">
        <f>G90*AP90</f>
        <v>0</v>
      </c>
      <c r="BJ90" s="16">
        <f>G90*H90</f>
        <v>0</v>
      </c>
    </row>
    <row r="91" spans="1:62" x14ac:dyDescent="0.2">
      <c r="A91" s="4" t="s">
        <v>76</v>
      </c>
      <c r="B91" s="4" t="s">
        <v>156</v>
      </c>
      <c r="C91" s="103" t="s">
        <v>247</v>
      </c>
      <c r="D91" s="104"/>
      <c r="E91" s="104"/>
      <c r="F91" s="4" t="s">
        <v>266</v>
      </c>
      <c r="G91" s="68">
        <v>420.41300000000001</v>
      </c>
      <c r="H91" s="16">
        <v>0</v>
      </c>
      <c r="I91" s="16">
        <f>G91*AO91</f>
        <v>0</v>
      </c>
      <c r="J91" s="16">
        <f>G91*AP91</f>
        <v>0</v>
      </c>
      <c r="K91" s="16">
        <f>G91*H91</f>
        <v>0</v>
      </c>
      <c r="L91" s="27" t="s">
        <v>284</v>
      </c>
      <c r="Z91" s="33">
        <f>IF(AQ91="5",BJ91,0)</f>
        <v>0</v>
      </c>
      <c r="AB91" s="33">
        <f>IF(AQ91="1",BH91,0)</f>
        <v>0</v>
      </c>
      <c r="AC91" s="33">
        <f>IF(AQ91="1",BI91,0)</f>
        <v>0</v>
      </c>
      <c r="AD91" s="33">
        <f>IF(AQ91="7",BH91,0)</f>
        <v>0</v>
      </c>
      <c r="AE91" s="33">
        <f>IF(AQ91="7",BI91,0)</f>
        <v>0</v>
      </c>
      <c r="AF91" s="33">
        <f>IF(AQ91="2",BH91,0)</f>
        <v>0</v>
      </c>
      <c r="AG91" s="33">
        <f>IF(AQ91="2",BI91,0)</f>
        <v>0</v>
      </c>
      <c r="AH91" s="33">
        <f>IF(AQ91="0",BJ91,0)</f>
        <v>0</v>
      </c>
      <c r="AI91" s="28"/>
      <c r="AJ91" s="16">
        <f>IF(AN91=0,K91,0)</f>
        <v>0</v>
      </c>
      <c r="AK91" s="16">
        <f>IF(AN91=15,K91,0)</f>
        <v>0</v>
      </c>
      <c r="AL91" s="16">
        <f>IF(AN91=21,K91,0)</f>
        <v>0</v>
      </c>
      <c r="AN91" s="33">
        <v>21</v>
      </c>
      <c r="AO91" s="33">
        <f>H91*0</f>
        <v>0</v>
      </c>
      <c r="AP91" s="33">
        <f>H91*(1-0)</f>
        <v>0</v>
      </c>
      <c r="AQ91" s="27" t="s">
        <v>11</v>
      </c>
      <c r="AV91" s="33">
        <f>AW91+AX91</f>
        <v>0</v>
      </c>
      <c r="AW91" s="33">
        <f>G91*AO91</f>
        <v>0</v>
      </c>
      <c r="AX91" s="33">
        <f>G91*AP91</f>
        <v>0</v>
      </c>
      <c r="AY91" s="34" t="s">
        <v>303</v>
      </c>
      <c r="AZ91" s="34" t="s">
        <v>311</v>
      </c>
      <c r="BA91" s="28" t="s">
        <v>312</v>
      </c>
      <c r="BC91" s="33">
        <f>AW91+AX91</f>
        <v>0</v>
      </c>
      <c r="BD91" s="33">
        <f>H91/(100-BE91)*100</f>
        <v>0</v>
      </c>
      <c r="BE91" s="33">
        <v>0</v>
      </c>
      <c r="BF91" s="33">
        <f>91</f>
        <v>91</v>
      </c>
      <c r="BH91" s="16">
        <f>G91*AO91</f>
        <v>0</v>
      </c>
      <c r="BI91" s="16">
        <f>G91*AP91</f>
        <v>0</v>
      </c>
      <c r="BJ91" s="16">
        <f>G91*H91</f>
        <v>0</v>
      </c>
    </row>
    <row r="92" spans="1:62" x14ac:dyDescent="0.2">
      <c r="A92" s="4" t="s">
        <v>77</v>
      </c>
      <c r="B92" s="4" t="s">
        <v>157</v>
      </c>
      <c r="C92" s="103" t="s">
        <v>248</v>
      </c>
      <c r="D92" s="104"/>
      <c r="E92" s="104"/>
      <c r="F92" s="4" t="s">
        <v>266</v>
      </c>
      <c r="G92" s="68">
        <v>60.058999999999997</v>
      </c>
      <c r="H92" s="16">
        <v>0</v>
      </c>
      <c r="I92" s="16">
        <f>G92*AO92</f>
        <v>0</v>
      </c>
      <c r="J92" s="16">
        <f>G92*AP92</f>
        <v>0</v>
      </c>
      <c r="K92" s="16">
        <f>G92*H92</f>
        <v>0</v>
      </c>
      <c r="L92" s="27" t="s">
        <v>284</v>
      </c>
      <c r="Z92" s="33">
        <f>IF(AQ92="5",BJ92,0)</f>
        <v>0</v>
      </c>
      <c r="AB92" s="33">
        <f>IF(AQ92="1",BH92,0)</f>
        <v>0</v>
      </c>
      <c r="AC92" s="33">
        <f>IF(AQ92="1",BI92,0)</f>
        <v>0</v>
      </c>
      <c r="AD92" s="33">
        <f>IF(AQ92="7",BH92,0)</f>
        <v>0</v>
      </c>
      <c r="AE92" s="33">
        <f>IF(AQ92="7",BI92,0)</f>
        <v>0</v>
      </c>
      <c r="AF92" s="33">
        <f>IF(AQ92="2",BH92,0)</f>
        <v>0</v>
      </c>
      <c r="AG92" s="33">
        <f>IF(AQ92="2",BI92,0)</f>
        <v>0</v>
      </c>
      <c r="AH92" s="33">
        <f>IF(AQ92="0",BJ92,0)</f>
        <v>0</v>
      </c>
      <c r="AI92" s="28"/>
      <c r="AJ92" s="16">
        <f>IF(AN92=0,K92,0)</f>
        <v>0</v>
      </c>
      <c r="AK92" s="16">
        <f>IF(AN92=15,K92,0)</f>
        <v>0</v>
      </c>
      <c r="AL92" s="16">
        <f>IF(AN92=21,K92,0)</f>
        <v>0</v>
      </c>
      <c r="AN92" s="33">
        <v>21</v>
      </c>
      <c r="AO92" s="33">
        <f>H92*0</f>
        <v>0</v>
      </c>
      <c r="AP92" s="33">
        <f>H92*(1-0)</f>
        <v>0</v>
      </c>
      <c r="AQ92" s="27" t="s">
        <v>11</v>
      </c>
      <c r="AV92" s="33">
        <f>AW92+AX92</f>
        <v>0</v>
      </c>
      <c r="AW92" s="33">
        <f>G92*AO92</f>
        <v>0</v>
      </c>
      <c r="AX92" s="33">
        <f>G92*AP92</f>
        <v>0</v>
      </c>
      <c r="AY92" s="34" t="s">
        <v>303</v>
      </c>
      <c r="AZ92" s="34" t="s">
        <v>311</v>
      </c>
      <c r="BA92" s="28" t="s">
        <v>312</v>
      </c>
      <c r="BC92" s="33">
        <f>AW92+AX92</f>
        <v>0</v>
      </c>
      <c r="BD92" s="33">
        <f>H92/(100-BE92)*100</f>
        <v>0</v>
      </c>
      <c r="BE92" s="33">
        <v>0</v>
      </c>
      <c r="BF92" s="33">
        <f>92</f>
        <v>92</v>
      </c>
      <c r="BH92" s="16">
        <f>G92*AO92</f>
        <v>0</v>
      </c>
      <c r="BI92" s="16">
        <f>G92*AP92</f>
        <v>0</v>
      </c>
      <c r="BJ92" s="16">
        <f>G92*H92</f>
        <v>0</v>
      </c>
    </row>
    <row r="93" spans="1:62" x14ac:dyDescent="0.2">
      <c r="A93" s="4" t="s">
        <v>78</v>
      </c>
      <c r="B93" s="4" t="s">
        <v>158</v>
      </c>
      <c r="C93" s="103" t="s">
        <v>249</v>
      </c>
      <c r="D93" s="104"/>
      <c r="E93" s="104"/>
      <c r="F93" s="4" t="s">
        <v>266</v>
      </c>
      <c r="G93" s="68">
        <v>60.058999999999997</v>
      </c>
      <c r="H93" s="16">
        <v>0</v>
      </c>
      <c r="I93" s="16">
        <f>G93*AO93</f>
        <v>0</v>
      </c>
      <c r="J93" s="16">
        <f>G93*AP93</f>
        <v>0</v>
      </c>
      <c r="K93" s="16">
        <f>G93*H93</f>
        <v>0</v>
      </c>
      <c r="L93" s="27" t="s">
        <v>284</v>
      </c>
      <c r="Z93" s="33">
        <f>IF(AQ93="5",BJ93,0)</f>
        <v>0</v>
      </c>
      <c r="AB93" s="33">
        <f>IF(AQ93="1",BH93,0)</f>
        <v>0</v>
      </c>
      <c r="AC93" s="33">
        <f>IF(AQ93="1",BI93,0)</f>
        <v>0</v>
      </c>
      <c r="AD93" s="33">
        <f>IF(AQ93="7",BH93,0)</f>
        <v>0</v>
      </c>
      <c r="AE93" s="33">
        <f>IF(AQ93="7",BI93,0)</f>
        <v>0</v>
      </c>
      <c r="AF93" s="33">
        <f>IF(AQ93="2",BH93,0)</f>
        <v>0</v>
      </c>
      <c r="AG93" s="33">
        <f>IF(AQ93="2",BI93,0)</f>
        <v>0</v>
      </c>
      <c r="AH93" s="33">
        <f>IF(AQ93="0",BJ93,0)</f>
        <v>0</v>
      </c>
      <c r="AI93" s="28"/>
      <c r="AJ93" s="16">
        <f>IF(AN93=0,K93,0)</f>
        <v>0</v>
      </c>
      <c r="AK93" s="16">
        <f>IF(AN93=15,K93,0)</f>
        <v>0</v>
      </c>
      <c r="AL93" s="16">
        <f>IF(AN93=21,K93,0)</f>
        <v>0</v>
      </c>
      <c r="AN93" s="33">
        <v>21</v>
      </c>
      <c r="AO93" s="33">
        <f>H93*0</f>
        <v>0</v>
      </c>
      <c r="AP93" s="33">
        <f>H93*(1-0)</f>
        <v>0</v>
      </c>
      <c r="AQ93" s="27" t="s">
        <v>11</v>
      </c>
      <c r="AV93" s="33">
        <f>AW93+AX93</f>
        <v>0</v>
      </c>
      <c r="AW93" s="33">
        <f>G93*AO93</f>
        <v>0</v>
      </c>
      <c r="AX93" s="33">
        <f>G93*AP93</f>
        <v>0</v>
      </c>
      <c r="AY93" s="34" t="s">
        <v>303</v>
      </c>
      <c r="AZ93" s="34" t="s">
        <v>311</v>
      </c>
      <c r="BA93" s="28" t="s">
        <v>312</v>
      </c>
      <c r="BC93" s="33">
        <f>AW93+AX93</f>
        <v>0</v>
      </c>
      <c r="BD93" s="33">
        <f>H93/(100-BE93)*100</f>
        <v>0</v>
      </c>
      <c r="BE93" s="33">
        <v>0</v>
      </c>
      <c r="BF93" s="33">
        <f>93</f>
        <v>93</v>
      </c>
      <c r="BH93" s="16">
        <f>G93*AO93</f>
        <v>0</v>
      </c>
      <c r="BI93" s="16">
        <f>G93*AP93</f>
        <v>0</v>
      </c>
      <c r="BJ93" s="16">
        <f>G93*H93</f>
        <v>0</v>
      </c>
    </row>
    <row r="94" spans="1:62" x14ac:dyDescent="0.2">
      <c r="A94" s="5"/>
      <c r="B94" s="13" t="s">
        <v>159</v>
      </c>
      <c r="C94" s="105" t="s">
        <v>250</v>
      </c>
      <c r="D94" s="106"/>
      <c r="E94" s="106"/>
      <c r="F94" s="5" t="s">
        <v>6</v>
      </c>
      <c r="G94" s="5" t="s">
        <v>6</v>
      </c>
      <c r="H94" s="5" t="s">
        <v>6</v>
      </c>
      <c r="I94" s="36">
        <f>SUM(I95:I95)</f>
        <v>0</v>
      </c>
      <c r="J94" s="36">
        <f>SUM(J95:J95)</f>
        <v>0</v>
      </c>
      <c r="K94" s="36">
        <f>SUM(K95:K95)</f>
        <v>0</v>
      </c>
      <c r="L94" s="28"/>
      <c r="AI94" s="28"/>
      <c r="AS94" s="36">
        <f>SUM(AJ95:AJ95)</f>
        <v>0</v>
      </c>
      <c r="AT94" s="36">
        <f>SUM(AK95:AK95)</f>
        <v>0</v>
      </c>
      <c r="AU94" s="36">
        <f>SUM(AL95:AL95)</f>
        <v>0</v>
      </c>
    </row>
    <row r="95" spans="1:62" x14ac:dyDescent="0.2">
      <c r="A95" s="4" t="s">
        <v>79</v>
      </c>
      <c r="B95" s="4" t="s">
        <v>160</v>
      </c>
      <c r="C95" s="103" t="s">
        <v>251</v>
      </c>
      <c r="D95" s="104"/>
      <c r="E95" s="104"/>
      <c r="F95" s="4" t="s">
        <v>266</v>
      </c>
      <c r="G95" s="68">
        <v>72.316000000000003</v>
      </c>
      <c r="H95" s="16">
        <v>0</v>
      </c>
      <c r="I95" s="16">
        <f>G95*AO95</f>
        <v>0</v>
      </c>
      <c r="J95" s="16">
        <f>G95*AP95</f>
        <v>0</v>
      </c>
      <c r="K95" s="16">
        <f>G95*H95</f>
        <v>0</v>
      </c>
      <c r="L95" s="27" t="s">
        <v>284</v>
      </c>
      <c r="Z95" s="33">
        <f>IF(AQ95="5",BJ95,0)</f>
        <v>0</v>
      </c>
      <c r="AB95" s="33">
        <f>IF(AQ95="1",BH95,0)</f>
        <v>0</v>
      </c>
      <c r="AC95" s="33">
        <f>IF(AQ95="1",BI95,0)</f>
        <v>0</v>
      </c>
      <c r="AD95" s="33">
        <f>IF(AQ95="7",BH95,0)</f>
        <v>0</v>
      </c>
      <c r="AE95" s="33">
        <f>IF(AQ95="7",BI95,0)</f>
        <v>0</v>
      </c>
      <c r="AF95" s="33">
        <f>IF(AQ95="2",BH95,0)</f>
        <v>0</v>
      </c>
      <c r="AG95" s="33">
        <f>IF(AQ95="2",BI95,0)</f>
        <v>0</v>
      </c>
      <c r="AH95" s="33">
        <f>IF(AQ95="0",BJ95,0)</f>
        <v>0</v>
      </c>
      <c r="AI95" s="28"/>
      <c r="AJ95" s="16">
        <f>IF(AN95=0,K95,0)</f>
        <v>0</v>
      </c>
      <c r="AK95" s="16">
        <f>IF(AN95=15,K95,0)</f>
        <v>0</v>
      </c>
      <c r="AL95" s="16">
        <f>IF(AN95=21,K95,0)</f>
        <v>0</v>
      </c>
      <c r="AN95" s="33">
        <v>21</v>
      </c>
      <c r="AO95" s="33">
        <f>H95*0</f>
        <v>0</v>
      </c>
      <c r="AP95" s="33">
        <f>H95*(1-0)</f>
        <v>0</v>
      </c>
      <c r="AQ95" s="27" t="s">
        <v>11</v>
      </c>
      <c r="AV95" s="33">
        <f>AW95+AX95</f>
        <v>0</v>
      </c>
      <c r="AW95" s="33">
        <f>G95*AO95</f>
        <v>0</v>
      </c>
      <c r="AX95" s="33">
        <f>G95*AP95</f>
        <v>0</v>
      </c>
      <c r="AY95" s="34" t="s">
        <v>304</v>
      </c>
      <c r="AZ95" s="34" t="s">
        <v>311</v>
      </c>
      <c r="BA95" s="28" t="s">
        <v>312</v>
      </c>
      <c r="BC95" s="33">
        <f>AW95+AX95</f>
        <v>0</v>
      </c>
      <c r="BD95" s="33">
        <f>H95/(100-BE95)*100</f>
        <v>0</v>
      </c>
      <c r="BE95" s="33">
        <v>0</v>
      </c>
      <c r="BF95" s="33">
        <f>95</f>
        <v>95</v>
      </c>
      <c r="BH95" s="16">
        <f>G95*AO95</f>
        <v>0</v>
      </c>
      <c r="BI95" s="16">
        <f>G95*AP95</f>
        <v>0</v>
      </c>
      <c r="BJ95" s="16">
        <f>G95*H95</f>
        <v>0</v>
      </c>
    </row>
    <row r="96" spans="1:62" x14ac:dyDescent="0.2">
      <c r="A96" s="5"/>
      <c r="B96" s="13" t="s">
        <v>161</v>
      </c>
      <c r="C96" s="105" t="s">
        <v>252</v>
      </c>
      <c r="D96" s="106"/>
      <c r="E96" s="106"/>
      <c r="F96" s="5" t="s">
        <v>6</v>
      </c>
      <c r="G96" s="5" t="s">
        <v>6</v>
      </c>
      <c r="H96" s="5" t="s">
        <v>6</v>
      </c>
      <c r="I96" s="36">
        <f>SUM(I97:I97)</f>
        <v>0</v>
      </c>
      <c r="J96" s="36">
        <f>SUM(J97:J97)</f>
        <v>0</v>
      </c>
      <c r="K96" s="36">
        <f>SUM(K97:K97)</f>
        <v>0</v>
      </c>
      <c r="L96" s="28"/>
      <c r="AI96" s="28"/>
      <c r="AS96" s="36">
        <f>SUM(AJ97:AJ97)</f>
        <v>0</v>
      </c>
      <c r="AT96" s="36">
        <f>SUM(AK97:AK97)</f>
        <v>0</v>
      </c>
      <c r="AU96" s="36">
        <f>SUM(AL97:AL97)</f>
        <v>0</v>
      </c>
    </row>
    <row r="97" spans="1:62" x14ac:dyDescent="0.2">
      <c r="A97" s="4" t="s">
        <v>80</v>
      </c>
      <c r="B97" s="4" t="s">
        <v>162</v>
      </c>
      <c r="C97" s="103" t="s">
        <v>253</v>
      </c>
      <c r="D97" s="104"/>
      <c r="E97" s="104"/>
      <c r="F97" s="4" t="s">
        <v>266</v>
      </c>
      <c r="G97" s="68">
        <v>175.09100000000001</v>
      </c>
      <c r="H97" s="16">
        <v>0</v>
      </c>
      <c r="I97" s="16">
        <f>G97*AO97</f>
        <v>0</v>
      </c>
      <c r="J97" s="16">
        <f>G97*AP97</f>
        <v>0</v>
      </c>
      <c r="K97" s="16">
        <f>G97*H97</f>
        <v>0</v>
      </c>
      <c r="L97" s="27" t="s">
        <v>284</v>
      </c>
      <c r="Z97" s="33">
        <f>IF(AQ97="5",BJ97,0)</f>
        <v>0</v>
      </c>
      <c r="AB97" s="33">
        <f>IF(AQ97="1",BH97,0)</f>
        <v>0</v>
      </c>
      <c r="AC97" s="33">
        <f>IF(AQ97="1",BI97,0)</f>
        <v>0</v>
      </c>
      <c r="AD97" s="33">
        <f>IF(AQ97="7",BH97,0)</f>
        <v>0</v>
      </c>
      <c r="AE97" s="33">
        <f>IF(AQ97="7",BI97,0)</f>
        <v>0</v>
      </c>
      <c r="AF97" s="33">
        <f>IF(AQ97="2",BH97,0)</f>
        <v>0</v>
      </c>
      <c r="AG97" s="33">
        <f>IF(AQ97="2",BI97,0)</f>
        <v>0</v>
      </c>
      <c r="AH97" s="33">
        <f>IF(AQ97="0",BJ97,0)</f>
        <v>0</v>
      </c>
      <c r="AI97" s="28"/>
      <c r="AJ97" s="16">
        <f>IF(AN97=0,K97,0)</f>
        <v>0</v>
      </c>
      <c r="AK97" s="16">
        <f>IF(AN97=15,K97,0)</f>
        <v>0</v>
      </c>
      <c r="AL97" s="16">
        <f>IF(AN97=21,K97,0)</f>
        <v>0</v>
      </c>
      <c r="AN97" s="33">
        <v>21</v>
      </c>
      <c r="AO97" s="33">
        <f>H97*0</f>
        <v>0</v>
      </c>
      <c r="AP97" s="33">
        <f>H97*(1-0)</f>
        <v>0</v>
      </c>
      <c r="AQ97" s="27" t="s">
        <v>11</v>
      </c>
      <c r="AV97" s="33">
        <f>AW97+AX97</f>
        <v>0</v>
      </c>
      <c r="AW97" s="33">
        <f>G97*AO97</f>
        <v>0</v>
      </c>
      <c r="AX97" s="33">
        <f>G97*AP97</f>
        <v>0</v>
      </c>
      <c r="AY97" s="34" t="s">
        <v>305</v>
      </c>
      <c r="AZ97" s="34" t="s">
        <v>311</v>
      </c>
      <c r="BA97" s="28" t="s">
        <v>312</v>
      </c>
      <c r="BC97" s="33">
        <f>AW97+AX97</f>
        <v>0</v>
      </c>
      <c r="BD97" s="33">
        <f>H97/(100-BE97)*100</f>
        <v>0</v>
      </c>
      <c r="BE97" s="33">
        <v>0</v>
      </c>
      <c r="BF97" s="33">
        <f>97</f>
        <v>97</v>
      </c>
      <c r="BH97" s="16">
        <f>G97*AO97</f>
        <v>0</v>
      </c>
      <c r="BI97" s="16">
        <f>G97*AP97</f>
        <v>0</v>
      </c>
      <c r="BJ97" s="16">
        <f>G97*H97</f>
        <v>0</v>
      </c>
    </row>
    <row r="98" spans="1:62" x14ac:dyDescent="0.2">
      <c r="A98" s="5"/>
      <c r="B98" s="13" t="s">
        <v>163</v>
      </c>
      <c r="C98" s="105" t="s">
        <v>254</v>
      </c>
      <c r="D98" s="106"/>
      <c r="E98" s="106"/>
      <c r="F98" s="5" t="s">
        <v>6</v>
      </c>
      <c r="G98" s="5" t="s">
        <v>6</v>
      </c>
      <c r="H98" s="5" t="s">
        <v>6</v>
      </c>
      <c r="I98" s="36">
        <f>SUM(I99:I101)</f>
        <v>0</v>
      </c>
      <c r="J98" s="36">
        <f>SUM(J99:J101)</f>
        <v>0</v>
      </c>
      <c r="K98" s="36">
        <f>SUM(K99:K101)</f>
        <v>0</v>
      </c>
      <c r="L98" s="28"/>
      <c r="AI98" s="28"/>
      <c r="AS98" s="36">
        <f>SUM(AJ99:AJ101)</f>
        <v>0</v>
      </c>
      <c r="AT98" s="36">
        <f>SUM(AK99:AK101)</f>
        <v>0</v>
      </c>
      <c r="AU98" s="36">
        <f>SUM(AL99:AL101)</f>
        <v>0</v>
      </c>
    </row>
    <row r="99" spans="1:62" x14ac:dyDescent="0.2">
      <c r="A99" s="4" t="s">
        <v>81</v>
      </c>
      <c r="B99" s="4" t="s">
        <v>164</v>
      </c>
      <c r="C99" s="103" t="s">
        <v>255</v>
      </c>
      <c r="D99" s="104"/>
      <c r="E99" s="104"/>
      <c r="F99" s="4" t="s">
        <v>267</v>
      </c>
      <c r="G99" s="68">
        <v>1</v>
      </c>
      <c r="H99" s="16">
        <v>0</v>
      </c>
      <c r="I99" s="16">
        <f>G99*AO99</f>
        <v>0</v>
      </c>
      <c r="J99" s="16">
        <f>G99*AP99</f>
        <v>0</v>
      </c>
      <c r="K99" s="16">
        <f>G99*H99</f>
        <v>0</v>
      </c>
      <c r="L99" s="27" t="s">
        <v>284</v>
      </c>
      <c r="Z99" s="33">
        <f>IF(AQ99="5",BJ99,0)</f>
        <v>0</v>
      </c>
      <c r="AB99" s="33">
        <f>IF(AQ99="1",BH99,0)</f>
        <v>0</v>
      </c>
      <c r="AC99" s="33">
        <f>IF(AQ99="1",BI99,0)</f>
        <v>0</v>
      </c>
      <c r="AD99" s="33">
        <f>IF(AQ99="7",BH99,0)</f>
        <v>0</v>
      </c>
      <c r="AE99" s="33">
        <f>IF(AQ99="7",BI99,0)</f>
        <v>0</v>
      </c>
      <c r="AF99" s="33">
        <f>IF(AQ99="2",BH99,0)</f>
        <v>0</v>
      </c>
      <c r="AG99" s="33">
        <f>IF(AQ99="2",BI99,0)</f>
        <v>0</v>
      </c>
      <c r="AH99" s="33">
        <f>IF(AQ99="0",BJ99,0)</f>
        <v>0</v>
      </c>
      <c r="AI99" s="28"/>
      <c r="AJ99" s="16">
        <f>IF(AN99=0,K99,0)</f>
        <v>0</v>
      </c>
      <c r="AK99" s="16">
        <f>IF(AN99=15,K99,0)</f>
        <v>0</v>
      </c>
      <c r="AL99" s="16">
        <f>IF(AN99=21,K99,0)</f>
        <v>0</v>
      </c>
      <c r="AN99" s="33">
        <v>21</v>
      </c>
      <c r="AO99" s="33">
        <f>H99*0</f>
        <v>0</v>
      </c>
      <c r="AP99" s="33">
        <f>H99*(1-0)</f>
        <v>0</v>
      </c>
      <c r="AQ99" s="27" t="s">
        <v>7</v>
      </c>
      <c r="AV99" s="33">
        <f>AW99+AX99</f>
        <v>0</v>
      </c>
      <c r="AW99" s="33">
        <f>G99*AO99</f>
        <v>0</v>
      </c>
      <c r="AX99" s="33">
        <f>G99*AP99</f>
        <v>0</v>
      </c>
      <c r="AY99" s="34" t="s">
        <v>306</v>
      </c>
      <c r="AZ99" s="34" t="s">
        <v>311</v>
      </c>
      <c r="BA99" s="28" t="s">
        <v>312</v>
      </c>
      <c r="BC99" s="33">
        <f>AW99+AX99</f>
        <v>0</v>
      </c>
      <c r="BD99" s="33">
        <f>H99/(100-BE99)*100</f>
        <v>0</v>
      </c>
      <c r="BE99" s="33">
        <v>0</v>
      </c>
      <c r="BF99" s="33">
        <f>99</f>
        <v>99</v>
      </c>
      <c r="BH99" s="16">
        <f>G99*AO99</f>
        <v>0</v>
      </c>
      <c r="BI99" s="16">
        <f>G99*AP99</f>
        <v>0</v>
      </c>
      <c r="BJ99" s="16">
        <f>G99*H99</f>
        <v>0</v>
      </c>
    </row>
    <row r="100" spans="1:62" x14ac:dyDescent="0.2">
      <c r="A100" s="4" t="s">
        <v>82</v>
      </c>
      <c r="B100" s="4" t="s">
        <v>165</v>
      </c>
      <c r="C100" s="103" t="s">
        <v>256</v>
      </c>
      <c r="D100" s="104"/>
      <c r="E100" s="104"/>
      <c r="F100" s="4" t="s">
        <v>267</v>
      </c>
      <c r="G100" s="68">
        <v>1</v>
      </c>
      <c r="H100" s="16">
        <v>0</v>
      </c>
      <c r="I100" s="16">
        <f>G100*AO100</f>
        <v>0</v>
      </c>
      <c r="J100" s="16">
        <f>G100*AP100</f>
        <v>0</v>
      </c>
      <c r="K100" s="16">
        <f>G100*H100</f>
        <v>0</v>
      </c>
      <c r="L100" s="27" t="s">
        <v>284</v>
      </c>
      <c r="Z100" s="33">
        <f>IF(AQ100="5",BJ100,0)</f>
        <v>0</v>
      </c>
      <c r="AB100" s="33">
        <f>IF(AQ100="1",BH100,0)</f>
        <v>0</v>
      </c>
      <c r="AC100" s="33">
        <f>IF(AQ100="1",BI100,0)</f>
        <v>0</v>
      </c>
      <c r="AD100" s="33">
        <f>IF(AQ100="7",BH100,0)</f>
        <v>0</v>
      </c>
      <c r="AE100" s="33">
        <f>IF(AQ100="7",BI100,0)</f>
        <v>0</v>
      </c>
      <c r="AF100" s="33">
        <f>IF(AQ100="2",BH100,0)</f>
        <v>0</v>
      </c>
      <c r="AG100" s="33">
        <f>IF(AQ100="2",BI100,0)</f>
        <v>0</v>
      </c>
      <c r="AH100" s="33">
        <f>IF(AQ100="0",BJ100,0)</f>
        <v>0</v>
      </c>
      <c r="AI100" s="28"/>
      <c r="AJ100" s="16">
        <f>IF(AN100=0,K100,0)</f>
        <v>0</v>
      </c>
      <c r="AK100" s="16">
        <f>IF(AN100=15,K100,0)</f>
        <v>0</v>
      </c>
      <c r="AL100" s="16">
        <f>IF(AN100=21,K100,0)</f>
        <v>0</v>
      </c>
      <c r="AN100" s="33">
        <v>21</v>
      </c>
      <c r="AO100" s="33">
        <f>H100*0</f>
        <v>0</v>
      </c>
      <c r="AP100" s="33">
        <f>H100*(1-0)</f>
        <v>0</v>
      </c>
      <c r="AQ100" s="27" t="s">
        <v>7</v>
      </c>
      <c r="AV100" s="33">
        <f>AW100+AX100</f>
        <v>0</v>
      </c>
      <c r="AW100" s="33">
        <f>G100*AO100</f>
        <v>0</v>
      </c>
      <c r="AX100" s="33">
        <f>G100*AP100</f>
        <v>0</v>
      </c>
      <c r="AY100" s="34" t="s">
        <v>306</v>
      </c>
      <c r="AZ100" s="34" t="s">
        <v>311</v>
      </c>
      <c r="BA100" s="28" t="s">
        <v>312</v>
      </c>
      <c r="BC100" s="33">
        <f>AW100+AX100</f>
        <v>0</v>
      </c>
      <c r="BD100" s="33">
        <f>H100/(100-BE100)*100</f>
        <v>0</v>
      </c>
      <c r="BE100" s="33">
        <v>0</v>
      </c>
      <c r="BF100" s="33">
        <f>100</f>
        <v>100</v>
      </c>
      <c r="BH100" s="16">
        <f>G100*AO100</f>
        <v>0</v>
      </c>
      <c r="BI100" s="16">
        <f>G100*AP100</f>
        <v>0</v>
      </c>
      <c r="BJ100" s="16">
        <f>G100*H100</f>
        <v>0</v>
      </c>
    </row>
    <row r="101" spans="1:62" x14ac:dyDescent="0.2">
      <c r="A101" s="7" t="s">
        <v>83</v>
      </c>
      <c r="B101" s="7" t="s">
        <v>166</v>
      </c>
      <c r="C101" s="109" t="s">
        <v>257</v>
      </c>
      <c r="D101" s="110"/>
      <c r="E101" s="110"/>
      <c r="F101" s="7" t="s">
        <v>267</v>
      </c>
      <c r="G101" s="73">
        <v>1</v>
      </c>
      <c r="H101" s="18">
        <v>0</v>
      </c>
      <c r="I101" s="18">
        <f>G101*AO101</f>
        <v>0</v>
      </c>
      <c r="J101" s="18">
        <f>G101*AP101</f>
        <v>0</v>
      </c>
      <c r="K101" s="18">
        <f>G101*H101</f>
        <v>0</v>
      </c>
      <c r="L101" s="30" t="s">
        <v>284</v>
      </c>
      <c r="Z101" s="33">
        <f>IF(AQ101="5",BJ101,0)</f>
        <v>0</v>
      </c>
      <c r="AB101" s="33">
        <f>IF(AQ101="1",BH101,0)</f>
        <v>0</v>
      </c>
      <c r="AC101" s="33">
        <f>IF(AQ101="1",BI101,0)</f>
        <v>0</v>
      </c>
      <c r="AD101" s="33">
        <f>IF(AQ101="7",BH101,0)</f>
        <v>0</v>
      </c>
      <c r="AE101" s="33">
        <f>IF(AQ101="7",BI101,0)</f>
        <v>0</v>
      </c>
      <c r="AF101" s="33">
        <f>IF(AQ101="2",BH101,0)</f>
        <v>0</v>
      </c>
      <c r="AG101" s="33">
        <f>IF(AQ101="2",BI101,0)</f>
        <v>0</v>
      </c>
      <c r="AH101" s="33">
        <f>IF(AQ101="0",BJ101,0)</f>
        <v>0</v>
      </c>
      <c r="AI101" s="28"/>
      <c r="AJ101" s="16">
        <f>IF(AN101=0,K101,0)</f>
        <v>0</v>
      </c>
      <c r="AK101" s="16">
        <f>IF(AN101=15,K101,0)</f>
        <v>0</v>
      </c>
      <c r="AL101" s="16">
        <f>IF(AN101=21,K101,0)</f>
        <v>0</v>
      </c>
      <c r="AN101" s="33">
        <v>21</v>
      </c>
      <c r="AO101" s="33">
        <f>H101*0</f>
        <v>0</v>
      </c>
      <c r="AP101" s="33">
        <f>H101*(1-0)</f>
        <v>0</v>
      </c>
      <c r="AQ101" s="27" t="s">
        <v>7</v>
      </c>
      <c r="AV101" s="33">
        <f>AW101+AX101</f>
        <v>0</v>
      </c>
      <c r="AW101" s="33">
        <f>G101*AO101</f>
        <v>0</v>
      </c>
      <c r="AX101" s="33">
        <f>G101*AP101</f>
        <v>0</v>
      </c>
      <c r="AY101" s="34" t="s">
        <v>306</v>
      </c>
      <c r="AZ101" s="34" t="s">
        <v>311</v>
      </c>
      <c r="BA101" s="28" t="s">
        <v>312</v>
      </c>
      <c r="BC101" s="33">
        <f>AW101+AX101</f>
        <v>0</v>
      </c>
      <c r="BD101" s="33">
        <f>H101/(100-BE101)*100</f>
        <v>0</v>
      </c>
      <c r="BE101" s="33">
        <v>0</v>
      </c>
      <c r="BF101" s="33">
        <f>101</f>
        <v>101</v>
      </c>
      <c r="BH101" s="16">
        <f>G101*AO101</f>
        <v>0</v>
      </c>
      <c r="BI101" s="16">
        <f>G101*AP101</f>
        <v>0</v>
      </c>
      <c r="BJ101" s="16">
        <f>G101*H101</f>
        <v>0</v>
      </c>
    </row>
    <row r="102" spans="1:62" x14ac:dyDescent="0.2">
      <c r="A102" s="8"/>
      <c r="B102" s="8"/>
      <c r="C102" s="8"/>
      <c r="D102" s="8"/>
      <c r="E102" s="8"/>
      <c r="F102" s="8"/>
      <c r="G102" s="8"/>
      <c r="H102" s="8"/>
      <c r="I102" s="111" t="s">
        <v>279</v>
      </c>
      <c r="J102" s="112"/>
      <c r="K102" s="37">
        <f>K12+K16+K22+K25+K31+K38+K40+K43+K58+K89+K94+K96+K98</f>
        <v>0</v>
      </c>
      <c r="L102" s="8"/>
    </row>
    <row r="103" spans="1:62" ht="11.25" customHeight="1" x14ac:dyDescent="0.2">
      <c r="A103" s="9" t="s">
        <v>84</v>
      </c>
    </row>
    <row r="104" spans="1:62" x14ac:dyDescent="0.2">
      <c r="A104" s="87"/>
      <c r="B104" s="79"/>
      <c r="C104" s="79"/>
      <c r="D104" s="79"/>
      <c r="E104" s="79"/>
      <c r="F104" s="79"/>
      <c r="G104" s="79"/>
      <c r="H104" s="79"/>
      <c r="I104" s="79"/>
      <c r="J104" s="79"/>
      <c r="K104" s="79"/>
      <c r="L104" s="79"/>
    </row>
  </sheetData>
  <mergeCells count="120">
    <mergeCell ref="C99:E99"/>
    <mergeCell ref="C100:E100"/>
    <mergeCell ref="C101:E101"/>
    <mergeCell ref="I102:J102"/>
    <mergeCell ref="A104:L104"/>
    <mergeCell ref="C93:E93"/>
    <mergeCell ref="C94:E94"/>
    <mergeCell ref="C95:E95"/>
    <mergeCell ref="C96:E96"/>
    <mergeCell ref="C97:E97"/>
    <mergeCell ref="C98:E98"/>
    <mergeCell ref="C87:E87"/>
    <mergeCell ref="C88:E88"/>
    <mergeCell ref="C89:E89"/>
    <mergeCell ref="C90:E90"/>
    <mergeCell ref="C91:E91"/>
    <mergeCell ref="C92:E92"/>
    <mergeCell ref="C81:E81"/>
    <mergeCell ref="C82:E82"/>
    <mergeCell ref="C83:E83"/>
    <mergeCell ref="C84:E84"/>
    <mergeCell ref="C85:E85"/>
    <mergeCell ref="C86:E86"/>
    <mergeCell ref="C75:E75"/>
    <mergeCell ref="C76:E76"/>
    <mergeCell ref="C77:E77"/>
    <mergeCell ref="C78:E78"/>
    <mergeCell ref="C79:E79"/>
    <mergeCell ref="C80:E80"/>
    <mergeCell ref="C69:E69"/>
    <mergeCell ref="C70:E70"/>
    <mergeCell ref="C71:E71"/>
    <mergeCell ref="C72:E72"/>
    <mergeCell ref="C73:E73"/>
    <mergeCell ref="C74:E74"/>
    <mergeCell ref="C63:E63"/>
    <mergeCell ref="C64:E64"/>
    <mergeCell ref="C65:E65"/>
    <mergeCell ref="C66:E66"/>
    <mergeCell ref="C67:E67"/>
    <mergeCell ref="C68:E68"/>
    <mergeCell ref="C57:E57"/>
    <mergeCell ref="C58:E58"/>
    <mergeCell ref="C59:E59"/>
    <mergeCell ref="C60:E60"/>
    <mergeCell ref="C61:E61"/>
    <mergeCell ref="C62:E62"/>
    <mergeCell ref="C51:E51"/>
    <mergeCell ref="C52:E52"/>
    <mergeCell ref="C53:E53"/>
    <mergeCell ref="C54:E54"/>
    <mergeCell ref="C55:E55"/>
    <mergeCell ref="C56:E56"/>
    <mergeCell ref="C45:E45"/>
    <mergeCell ref="C46:E46"/>
    <mergeCell ref="C47:E47"/>
    <mergeCell ref="C48:E48"/>
    <mergeCell ref="C49:E49"/>
    <mergeCell ref="C50:E50"/>
    <mergeCell ref="C39:E39"/>
    <mergeCell ref="C40:E40"/>
    <mergeCell ref="C41:E41"/>
    <mergeCell ref="C42:E42"/>
    <mergeCell ref="C43:E43"/>
    <mergeCell ref="C44:E44"/>
    <mergeCell ref="C33:E33"/>
    <mergeCell ref="C34:E34"/>
    <mergeCell ref="C35:E35"/>
    <mergeCell ref="C36:E36"/>
    <mergeCell ref="C37:E37"/>
    <mergeCell ref="C38:E38"/>
    <mergeCell ref="C27:E27"/>
    <mergeCell ref="C28:E28"/>
    <mergeCell ref="C29:E29"/>
    <mergeCell ref="C30:E30"/>
    <mergeCell ref="C31:E31"/>
    <mergeCell ref="C32:E32"/>
    <mergeCell ref="C21:E21"/>
    <mergeCell ref="C22:E22"/>
    <mergeCell ref="C23:E23"/>
    <mergeCell ref="C24:E24"/>
    <mergeCell ref="C25:E25"/>
    <mergeCell ref="C26:E26"/>
    <mergeCell ref="C15:E15"/>
    <mergeCell ref="C16:E16"/>
    <mergeCell ref="C17:E17"/>
    <mergeCell ref="C18:E18"/>
    <mergeCell ref="C19:E19"/>
    <mergeCell ref="C20:E20"/>
    <mergeCell ref="C10:E10"/>
    <mergeCell ref="I10:K10"/>
    <mergeCell ref="C11:E11"/>
    <mergeCell ref="C12:E12"/>
    <mergeCell ref="C13:E13"/>
    <mergeCell ref="C14:E14"/>
    <mergeCell ref="A8:B9"/>
    <mergeCell ref="C8:C9"/>
    <mergeCell ref="D8:E9"/>
    <mergeCell ref="F8:G9"/>
    <mergeCell ref="H8:H9"/>
    <mergeCell ref="I8:L9"/>
    <mergeCell ref="A6:B7"/>
    <mergeCell ref="C6:C7"/>
    <mergeCell ref="D6:E7"/>
    <mergeCell ref="F6:G7"/>
    <mergeCell ref="H6:H7"/>
    <mergeCell ref="I6:L7"/>
    <mergeCell ref="A4:B5"/>
    <mergeCell ref="C4:C5"/>
    <mergeCell ref="D4:E5"/>
    <mergeCell ref="F4:G5"/>
    <mergeCell ref="H4:H5"/>
    <mergeCell ref="I4:L5"/>
    <mergeCell ref="A1:L1"/>
    <mergeCell ref="A2:B3"/>
    <mergeCell ref="C2:C3"/>
    <mergeCell ref="D2:E3"/>
    <mergeCell ref="F2:G3"/>
    <mergeCell ref="H2:H3"/>
    <mergeCell ref="I2:L3"/>
  </mergeCells>
  <pageMargins left="0.39400000000000002" right="0.39400000000000002" top="0.59099999999999997" bottom="0.59099999999999997" header="0.5" footer="0.5"/>
  <pageSetup paperSize="0" fitToHeight="0" orientation="portrait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9"/>
  <sheetViews>
    <sheetView workbookViewId="0">
      <pane ySplit="10" topLeftCell="A11" activePane="bottomLeft" state="frozenSplit"/>
      <selection pane="bottomLeft" activeCell="A2" sqref="A2:B3"/>
    </sheetView>
  </sheetViews>
  <sheetFormatPr defaultColWidth="11.5703125" defaultRowHeight="12.75" x14ac:dyDescent="0.2"/>
  <cols>
    <col min="1" max="2" width="9.140625" customWidth="1"/>
    <col min="3" max="3" width="13.28515625" customWidth="1"/>
    <col min="4" max="4" width="78.140625" customWidth="1"/>
    <col min="5" max="5" width="14.5703125" customWidth="1"/>
    <col min="6" max="6" width="5.5703125" customWidth="1"/>
    <col min="7" max="7" width="13" customWidth="1"/>
    <col min="8" max="8" width="18.140625" hidden="1" customWidth="1"/>
  </cols>
  <sheetData>
    <row r="1" spans="1:9" ht="72.95" customHeight="1" x14ac:dyDescent="0.35">
      <c r="A1" s="74" t="s">
        <v>323</v>
      </c>
      <c r="B1" s="75"/>
      <c r="C1" s="75"/>
      <c r="D1" s="75"/>
      <c r="E1" s="75"/>
      <c r="F1" s="75"/>
      <c r="G1" s="75"/>
      <c r="H1" s="75"/>
    </row>
    <row r="2" spans="1:9" x14ac:dyDescent="0.2">
      <c r="A2" s="76" t="s">
        <v>1</v>
      </c>
      <c r="B2" s="77"/>
      <c r="C2" s="80" t="str">
        <f>'Stavební rozpočet'!C2</f>
        <v>Dostavba vodovodu lokalita Kuřívody, Ralsko</v>
      </c>
      <c r="D2" s="112"/>
      <c r="E2" s="83" t="s">
        <v>270</v>
      </c>
      <c r="F2" s="83" t="str">
        <f>'Stavební rozpočet'!I2</f>
        <v> </v>
      </c>
      <c r="G2" s="77"/>
      <c r="H2" s="84"/>
      <c r="I2" s="31"/>
    </row>
    <row r="3" spans="1:9" x14ac:dyDescent="0.2">
      <c r="A3" s="78"/>
      <c r="B3" s="79"/>
      <c r="C3" s="81"/>
      <c r="D3" s="81"/>
      <c r="E3" s="79"/>
      <c r="F3" s="79"/>
      <c r="G3" s="79"/>
      <c r="H3" s="85"/>
      <c r="I3" s="31"/>
    </row>
    <row r="4" spans="1:9" x14ac:dyDescent="0.2">
      <c r="A4" s="86" t="s">
        <v>2</v>
      </c>
      <c r="B4" s="79"/>
      <c r="C4" s="87" t="str">
        <f>'Stavební rozpočet'!C4</f>
        <v xml:space="preserve"> </v>
      </c>
      <c r="D4" s="79"/>
      <c r="E4" s="87" t="s">
        <v>271</v>
      </c>
      <c r="F4" s="87" t="str">
        <f>'Stavební rozpočet'!I4</f>
        <v> </v>
      </c>
      <c r="G4" s="79"/>
      <c r="H4" s="85"/>
      <c r="I4" s="31"/>
    </row>
    <row r="5" spans="1:9" x14ac:dyDescent="0.2">
      <c r="A5" s="78"/>
      <c r="B5" s="79"/>
      <c r="C5" s="79"/>
      <c r="D5" s="79"/>
      <c r="E5" s="79"/>
      <c r="F5" s="79"/>
      <c r="G5" s="79"/>
      <c r="H5" s="85"/>
      <c r="I5" s="31"/>
    </row>
    <row r="6" spans="1:9" x14ac:dyDescent="0.2">
      <c r="A6" s="86" t="s">
        <v>3</v>
      </c>
      <c r="B6" s="79"/>
      <c r="C6" s="87" t="str">
        <f>'Stavební rozpočet'!C6</f>
        <v xml:space="preserve"> </v>
      </c>
      <c r="D6" s="79"/>
      <c r="E6" s="87" t="s">
        <v>272</v>
      </c>
      <c r="F6" s="87" t="str">
        <f>'Stavební rozpočet'!I6</f>
        <v> </v>
      </c>
      <c r="G6" s="79"/>
      <c r="H6" s="85"/>
      <c r="I6" s="31"/>
    </row>
    <row r="7" spans="1:9" x14ac:dyDescent="0.2">
      <c r="A7" s="78"/>
      <c r="B7" s="79"/>
      <c r="C7" s="79"/>
      <c r="D7" s="79"/>
      <c r="E7" s="79"/>
      <c r="F7" s="79"/>
      <c r="G7" s="79"/>
      <c r="H7" s="85"/>
      <c r="I7" s="31"/>
    </row>
    <row r="8" spans="1:9" x14ac:dyDescent="0.2">
      <c r="A8" s="86" t="s">
        <v>273</v>
      </c>
      <c r="B8" s="79"/>
      <c r="C8" s="87" t="str">
        <f>'Stavební rozpočet'!I8</f>
        <v> </v>
      </c>
      <c r="D8" s="79"/>
      <c r="E8" s="87" t="s">
        <v>261</v>
      </c>
      <c r="F8" s="87"/>
      <c r="G8" s="79"/>
      <c r="H8" s="85"/>
      <c r="I8" s="31"/>
    </row>
    <row r="9" spans="1:9" x14ac:dyDescent="0.2">
      <c r="A9" s="89"/>
      <c r="B9" s="90"/>
      <c r="C9" s="90"/>
      <c r="D9" s="90"/>
      <c r="E9" s="90"/>
      <c r="F9" s="90"/>
      <c r="G9" s="90"/>
      <c r="H9" s="91"/>
      <c r="I9" s="31"/>
    </row>
    <row r="10" spans="1:9" x14ac:dyDescent="0.2">
      <c r="A10" s="40" t="s">
        <v>5</v>
      </c>
      <c r="B10" s="45" t="s">
        <v>317</v>
      </c>
      <c r="C10" s="45" t="s">
        <v>85</v>
      </c>
      <c r="D10" s="113" t="s">
        <v>168</v>
      </c>
      <c r="E10" s="114"/>
      <c r="F10" s="45" t="s">
        <v>262</v>
      </c>
      <c r="G10" s="46" t="s">
        <v>269</v>
      </c>
      <c r="H10" s="38" t="s">
        <v>362</v>
      </c>
      <c r="I10" s="32"/>
    </row>
    <row r="11" spans="1:9" x14ac:dyDescent="0.2">
      <c r="A11" s="12"/>
      <c r="B11" s="12"/>
      <c r="C11" s="12" t="s">
        <v>17</v>
      </c>
      <c r="D11" s="101" t="s">
        <v>170</v>
      </c>
      <c r="E11" s="102"/>
      <c r="F11" s="12"/>
      <c r="G11" s="67"/>
      <c r="H11" s="26"/>
    </row>
    <row r="12" spans="1:9" x14ac:dyDescent="0.2">
      <c r="A12" s="4" t="s">
        <v>7</v>
      </c>
      <c r="B12" s="4"/>
      <c r="C12" s="4" t="s">
        <v>86</v>
      </c>
      <c r="D12" s="103" t="s">
        <v>171</v>
      </c>
      <c r="E12" s="104"/>
      <c r="F12" s="4" t="s">
        <v>263</v>
      </c>
      <c r="G12" s="68">
        <v>71.680999999999997</v>
      </c>
      <c r="H12" s="16">
        <v>0</v>
      </c>
    </row>
    <row r="13" spans="1:9" ht="12.2" customHeight="1" x14ac:dyDescent="0.2">
      <c r="D13" s="117" t="s">
        <v>324</v>
      </c>
      <c r="E13" s="118"/>
      <c r="F13" s="118"/>
      <c r="G13" s="47">
        <v>46.776000000000003</v>
      </c>
    </row>
    <row r="14" spans="1:9" ht="12.2" customHeight="1" x14ac:dyDescent="0.2">
      <c r="A14" s="4"/>
      <c r="B14" s="4"/>
      <c r="C14" s="4"/>
      <c r="D14" s="117" t="s">
        <v>325</v>
      </c>
      <c r="E14" s="118"/>
      <c r="F14" s="117"/>
      <c r="G14" s="69">
        <v>24.905000000000001</v>
      </c>
      <c r="H14" s="27"/>
    </row>
    <row r="15" spans="1:9" x14ac:dyDescent="0.2">
      <c r="A15" s="4" t="s">
        <v>8</v>
      </c>
      <c r="B15" s="4"/>
      <c r="C15" s="4" t="s">
        <v>87</v>
      </c>
      <c r="D15" s="103" t="s">
        <v>172</v>
      </c>
      <c r="E15" s="104"/>
      <c r="F15" s="4" t="s">
        <v>263</v>
      </c>
      <c r="G15" s="68">
        <v>71.680999999999997</v>
      </c>
      <c r="H15" s="16">
        <v>0</v>
      </c>
    </row>
    <row r="16" spans="1:9" ht="12.2" customHeight="1" x14ac:dyDescent="0.2">
      <c r="D16" s="117" t="s">
        <v>324</v>
      </c>
      <c r="E16" s="118"/>
      <c r="F16" s="118"/>
      <c r="G16" s="47">
        <v>46.776000000000003</v>
      </c>
    </row>
    <row r="17" spans="1:8" ht="12.2" customHeight="1" x14ac:dyDescent="0.2">
      <c r="A17" s="4"/>
      <c r="B17" s="4"/>
      <c r="C17" s="4"/>
      <c r="D17" s="117" t="s">
        <v>325</v>
      </c>
      <c r="E17" s="118"/>
      <c r="F17" s="117"/>
      <c r="G17" s="69">
        <v>24.905000000000001</v>
      </c>
      <c r="H17" s="27"/>
    </row>
    <row r="18" spans="1:8" x14ac:dyDescent="0.2">
      <c r="A18" s="4" t="s">
        <v>9</v>
      </c>
      <c r="B18" s="4"/>
      <c r="C18" s="4" t="s">
        <v>88</v>
      </c>
      <c r="D18" s="103" t="s">
        <v>173</v>
      </c>
      <c r="E18" s="104"/>
      <c r="F18" s="4" t="s">
        <v>264</v>
      </c>
      <c r="G18" s="68">
        <v>5.39</v>
      </c>
      <c r="H18" s="16">
        <v>0</v>
      </c>
    </row>
    <row r="19" spans="1:8" ht="12.2" customHeight="1" x14ac:dyDescent="0.2">
      <c r="D19" s="117" t="s">
        <v>326</v>
      </c>
      <c r="E19" s="118"/>
      <c r="F19" s="118"/>
      <c r="G19" s="47">
        <v>5.39</v>
      </c>
    </row>
    <row r="20" spans="1:8" x14ac:dyDescent="0.2">
      <c r="A20" s="13"/>
      <c r="B20" s="13"/>
      <c r="C20" s="13" t="s">
        <v>19</v>
      </c>
      <c r="D20" s="105" t="s">
        <v>174</v>
      </c>
      <c r="E20" s="106"/>
      <c r="F20" s="13"/>
      <c r="G20" s="70"/>
      <c r="H20" s="28"/>
    </row>
    <row r="21" spans="1:8" x14ac:dyDescent="0.2">
      <c r="A21" s="4" t="s">
        <v>10</v>
      </c>
      <c r="B21" s="4"/>
      <c r="C21" s="4" t="s">
        <v>89</v>
      </c>
      <c r="D21" s="103" t="s">
        <v>175</v>
      </c>
      <c r="E21" s="104"/>
      <c r="F21" s="4" t="s">
        <v>265</v>
      </c>
      <c r="G21" s="68">
        <v>52.021000000000001</v>
      </c>
      <c r="H21" s="16">
        <v>0</v>
      </c>
    </row>
    <row r="22" spans="1:8" ht="12.2" customHeight="1" x14ac:dyDescent="0.2">
      <c r="D22" s="117" t="s">
        <v>327</v>
      </c>
      <c r="E22" s="118"/>
      <c r="F22" s="118"/>
      <c r="G22" s="47">
        <v>46.493000000000002</v>
      </c>
    </row>
    <row r="23" spans="1:8" ht="12.2" customHeight="1" x14ac:dyDescent="0.2">
      <c r="A23" s="4"/>
      <c r="B23" s="4"/>
      <c r="C23" s="4"/>
      <c r="D23" s="117" t="s">
        <v>328</v>
      </c>
      <c r="E23" s="118"/>
      <c r="F23" s="117"/>
      <c r="G23" s="69">
        <v>5.5279999999999996</v>
      </c>
      <c r="H23" s="27"/>
    </row>
    <row r="24" spans="1:8" x14ac:dyDescent="0.2">
      <c r="A24" s="4" t="s">
        <v>11</v>
      </c>
      <c r="B24" s="4"/>
      <c r="C24" s="4" t="s">
        <v>90</v>
      </c>
      <c r="D24" s="103" t="s">
        <v>176</v>
      </c>
      <c r="E24" s="104"/>
      <c r="F24" s="4" t="s">
        <v>265</v>
      </c>
      <c r="G24" s="68">
        <v>52.021000000000001</v>
      </c>
      <c r="H24" s="16">
        <v>0</v>
      </c>
    </row>
    <row r="25" spans="1:8" ht="12.2" customHeight="1" x14ac:dyDescent="0.2">
      <c r="D25" s="117" t="s">
        <v>329</v>
      </c>
      <c r="E25" s="118"/>
      <c r="F25" s="118"/>
      <c r="G25" s="47">
        <v>52.021000000000001</v>
      </c>
    </row>
    <row r="26" spans="1:8" x14ac:dyDescent="0.2">
      <c r="A26" s="4" t="s">
        <v>12</v>
      </c>
      <c r="B26" s="4"/>
      <c r="C26" s="4" t="s">
        <v>91</v>
      </c>
      <c r="D26" s="103" t="s">
        <v>177</v>
      </c>
      <c r="E26" s="104"/>
      <c r="F26" s="4" t="s">
        <v>265</v>
      </c>
      <c r="G26" s="68">
        <v>5.5279999999999996</v>
      </c>
      <c r="H26" s="16">
        <v>0</v>
      </c>
    </row>
    <row r="27" spans="1:8" ht="12.2" customHeight="1" x14ac:dyDescent="0.2">
      <c r="D27" s="117" t="s">
        <v>328</v>
      </c>
      <c r="E27" s="118"/>
      <c r="F27" s="118"/>
      <c r="G27" s="47">
        <v>5.5279999999999996</v>
      </c>
    </row>
    <row r="28" spans="1:8" x14ac:dyDescent="0.2">
      <c r="A28" s="4" t="s">
        <v>13</v>
      </c>
      <c r="B28" s="4"/>
      <c r="C28" s="4" t="s">
        <v>92</v>
      </c>
      <c r="D28" s="103" t="s">
        <v>178</v>
      </c>
      <c r="E28" s="104"/>
      <c r="F28" s="4" t="s">
        <v>265</v>
      </c>
      <c r="G28" s="68">
        <v>60.975000000000001</v>
      </c>
      <c r="H28" s="16">
        <v>0</v>
      </c>
    </row>
    <row r="29" spans="1:8" ht="12.2" customHeight="1" x14ac:dyDescent="0.2">
      <c r="D29" s="117" t="s">
        <v>330</v>
      </c>
      <c r="E29" s="118"/>
      <c r="F29" s="118"/>
      <c r="G29" s="47">
        <v>60.975000000000001</v>
      </c>
    </row>
    <row r="30" spans="1:8" x14ac:dyDescent="0.2">
      <c r="A30" s="4" t="s">
        <v>14</v>
      </c>
      <c r="B30" s="4"/>
      <c r="C30" s="4" t="s">
        <v>93</v>
      </c>
      <c r="D30" s="103" t="s">
        <v>179</v>
      </c>
      <c r="E30" s="104"/>
      <c r="F30" s="4" t="s">
        <v>265</v>
      </c>
      <c r="G30" s="68">
        <v>60.975000000000001</v>
      </c>
      <c r="H30" s="16">
        <v>0</v>
      </c>
    </row>
    <row r="31" spans="1:8" ht="12.2" customHeight="1" x14ac:dyDescent="0.2">
      <c r="D31" s="117" t="s">
        <v>331</v>
      </c>
      <c r="E31" s="118"/>
      <c r="F31" s="118"/>
      <c r="G31" s="47">
        <v>60.975000000000001</v>
      </c>
    </row>
    <row r="32" spans="1:8" x14ac:dyDescent="0.2">
      <c r="A32" s="13"/>
      <c r="B32" s="13"/>
      <c r="C32" s="13" t="s">
        <v>21</v>
      </c>
      <c r="D32" s="105" t="s">
        <v>180</v>
      </c>
      <c r="E32" s="106"/>
      <c r="F32" s="13"/>
      <c r="G32" s="70"/>
      <c r="H32" s="28"/>
    </row>
    <row r="33" spans="1:8" x14ac:dyDescent="0.2">
      <c r="A33" s="4" t="s">
        <v>15</v>
      </c>
      <c r="B33" s="4"/>
      <c r="C33" s="4" t="s">
        <v>94</v>
      </c>
      <c r="D33" s="103" t="s">
        <v>181</v>
      </c>
      <c r="E33" s="104"/>
      <c r="F33" s="4" t="s">
        <v>263</v>
      </c>
      <c r="G33" s="68">
        <v>191.35499999999999</v>
      </c>
      <c r="H33" s="16">
        <v>0</v>
      </c>
    </row>
    <row r="34" spans="1:8" ht="12.2" customHeight="1" x14ac:dyDescent="0.2">
      <c r="D34" s="117" t="s">
        <v>332</v>
      </c>
      <c r="E34" s="118"/>
      <c r="F34" s="118"/>
      <c r="G34" s="47">
        <v>191.35499999999999</v>
      </c>
    </row>
    <row r="35" spans="1:8" x14ac:dyDescent="0.2">
      <c r="A35" s="4" t="s">
        <v>16</v>
      </c>
      <c r="B35" s="4"/>
      <c r="C35" s="4" t="s">
        <v>95</v>
      </c>
      <c r="D35" s="103" t="s">
        <v>182</v>
      </c>
      <c r="E35" s="104"/>
      <c r="F35" s="4" t="s">
        <v>263</v>
      </c>
      <c r="G35" s="68">
        <v>191.35499999999999</v>
      </c>
      <c r="H35" s="16">
        <v>0</v>
      </c>
    </row>
    <row r="36" spans="1:8" ht="12.2" customHeight="1" x14ac:dyDescent="0.2">
      <c r="D36" s="117" t="s">
        <v>332</v>
      </c>
      <c r="E36" s="118"/>
      <c r="F36" s="118"/>
      <c r="G36" s="47">
        <v>191.35499999999999</v>
      </c>
    </row>
    <row r="37" spans="1:8" x14ac:dyDescent="0.2">
      <c r="A37" s="13"/>
      <c r="B37" s="13"/>
      <c r="C37" s="13" t="s">
        <v>22</v>
      </c>
      <c r="D37" s="105" t="s">
        <v>183</v>
      </c>
      <c r="E37" s="106"/>
      <c r="F37" s="13"/>
      <c r="G37" s="70"/>
      <c r="H37" s="28"/>
    </row>
    <row r="38" spans="1:8" x14ac:dyDescent="0.2">
      <c r="A38" s="4" t="s">
        <v>17</v>
      </c>
      <c r="B38" s="4"/>
      <c r="C38" s="4" t="s">
        <v>96</v>
      </c>
      <c r="D38" s="103" t="s">
        <v>184</v>
      </c>
      <c r="E38" s="104"/>
      <c r="F38" s="4" t="s">
        <v>265</v>
      </c>
      <c r="G38" s="68">
        <v>112.996</v>
      </c>
      <c r="H38" s="16">
        <v>0</v>
      </c>
    </row>
    <row r="39" spans="1:8" ht="12.2" customHeight="1" x14ac:dyDescent="0.2">
      <c r="D39" s="117" t="s">
        <v>333</v>
      </c>
      <c r="E39" s="118"/>
      <c r="F39" s="118"/>
      <c r="G39" s="47">
        <v>112.996</v>
      </c>
    </row>
    <row r="40" spans="1:8" x14ac:dyDescent="0.2">
      <c r="A40" s="4" t="s">
        <v>18</v>
      </c>
      <c r="B40" s="4"/>
      <c r="C40" s="4" t="s">
        <v>97</v>
      </c>
      <c r="D40" s="103" t="s">
        <v>185</v>
      </c>
      <c r="E40" s="104"/>
      <c r="F40" s="4" t="s">
        <v>265</v>
      </c>
      <c r="G40" s="68">
        <v>63.765000000000001</v>
      </c>
      <c r="H40" s="16">
        <v>0</v>
      </c>
    </row>
    <row r="41" spans="1:8" ht="12.2" customHeight="1" x14ac:dyDescent="0.2">
      <c r="D41" s="117" t="s">
        <v>334</v>
      </c>
      <c r="E41" s="118"/>
      <c r="F41" s="118"/>
      <c r="G41" s="47">
        <v>63.765000000000001</v>
      </c>
    </row>
    <row r="42" spans="1:8" x14ac:dyDescent="0.2">
      <c r="A42" s="4" t="s">
        <v>19</v>
      </c>
      <c r="B42" s="4"/>
      <c r="C42" s="4" t="s">
        <v>98</v>
      </c>
      <c r="D42" s="103" t="s">
        <v>186</v>
      </c>
      <c r="E42" s="104"/>
      <c r="F42" s="4" t="s">
        <v>265</v>
      </c>
      <c r="G42" s="68">
        <v>14.625999999999999</v>
      </c>
      <c r="H42" s="16">
        <v>0</v>
      </c>
    </row>
    <row r="43" spans="1:8" ht="12.2" customHeight="1" x14ac:dyDescent="0.2">
      <c r="D43" s="117" t="s">
        <v>335</v>
      </c>
      <c r="E43" s="118"/>
      <c r="F43" s="118"/>
      <c r="G43" s="47">
        <v>14.625999999999999</v>
      </c>
    </row>
    <row r="44" spans="1:8" x14ac:dyDescent="0.2">
      <c r="A44" s="4" t="s">
        <v>20</v>
      </c>
      <c r="B44" s="4"/>
      <c r="C44" s="4" t="s">
        <v>99</v>
      </c>
      <c r="D44" s="103" t="s">
        <v>187</v>
      </c>
      <c r="E44" s="104"/>
      <c r="F44" s="4" t="s">
        <v>265</v>
      </c>
      <c r="G44" s="68">
        <v>63.765000000000001</v>
      </c>
      <c r="H44" s="16">
        <v>0</v>
      </c>
    </row>
    <row r="45" spans="1:8" ht="12.2" customHeight="1" x14ac:dyDescent="0.2">
      <c r="D45" s="117" t="s">
        <v>334</v>
      </c>
      <c r="E45" s="118"/>
      <c r="F45" s="118"/>
      <c r="G45" s="47">
        <v>63.765000000000001</v>
      </c>
    </row>
    <row r="46" spans="1:8" x14ac:dyDescent="0.2">
      <c r="A46" s="4" t="s">
        <v>21</v>
      </c>
      <c r="B46" s="4"/>
      <c r="C46" s="4" t="s">
        <v>100</v>
      </c>
      <c r="D46" s="103" t="s">
        <v>188</v>
      </c>
      <c r="E46" s="104"/>
      <c r="F46" s="4" t="s">
        <v>265</v>
      </c>
      <c r="G46" s="68">
        <v>30.567</v>
      </c>
      <c r="H46" s="16">
        <v>0</v>
      </c>
    </row>
    <row r="47" spans="1:8" ht="12.2" customHeight="1" x14ac:dyDescent="0.2">
      <c r="D47" s="117" t="s">
        <v>336</v>
      </c>
      <c r="E47" s="118"/>
      <c r="F47" s="118"/>
      <c r="G47" s="47">
        <v>30.567</v>
      </c>
    </row>
    <row r="48" spans="1:8" x14ac:dyDescent="0.2">
      <c r="A48" s="13"/>
      <c r="B48" s="13"/>
      <c r="C48" s="13" t="s">
        <v>23</v>
      </c>
      <c r="D48" s="105" t="s">
        <v>189</v>
      </c>
      <c r="E48" s="106"/>
      <c r="F48" s="13"/>
      <c r="G48" s="70"/>
      <c r="H48" s="28"/>
    </row>
    <row r="49" spans="1:8" x14ac:dyDescent="0.2">
      <c r="A49" s="4" t="s">
        <v>22</v>
      </c>
      <c r="B49" s="4"/>
      <c r="C49" s="4" t="s">
        <v>101</v>
      </c>
      <c r="D49" s="103" t="s">
        <v>190</v>
      </c>
      <c r="E49" s="104"/>
      <c r="F49" s="4" t="s">
        <v>265</v>
      </c>
      <c r="G49" s="68">
        <v>30.567</v>
      </c>
      <c r="H49" s="16">
        <v>0</v>
      </c>
    </row>
    <row r="50" spans="1:8" ht="12.2" customHeight="1" x14ac:dyDescent="0.2">
      <c r="D50" s="117" t="s">
        <v>336</v>
      </c>
      <c r="E50" s="118"/>
      <c r="F50" s="118"/>
      <c r="G50" s="47">
        <v>30.567</v>
      </c>
    </row>
    <row r="51" spans="1:8" x14ac:dyDescent="0.2">
      <c r="A51" s="4" t="s">
        <v>23</v>
      </c>
      <c r="B51" s="4"/>
      <c r="C51" s="4" t="s">
        <v>102</v>
      </c>
      <c r="D51" s="103" t="s">
        <v>191</v>
      </c>
      <c r="E51" s="104"/>
      <c r="F51" s="4" t="s">
        <v>265</v>
      </c>
      <c r="G51" s="68">
        <v>79.706000000000003</v>
      </c>
      <c r="H51" s="16">
        <v>0</v>
      </c>
    </row>
    <row r="52" spans="1:8" ht="12.2" customHeight="1" x14ac:dyDescent="0.2">
      <c r="D52" s="117" t="s">
        <v>337</v>
      </c>
      <c r="E52" s="118"/>
      <c r="F52" s="118"/>
      <c r="G52" s="47">
        <v>38.378</v>
      </c>
    </row>
    <row r="53" spans="1:8" ht="12.2" customHeight="1" x14ac:dyDescent="0.2">
      <c r="A53" s="4"/>
      <c r="B53" s="4"/>
      <c r="C53" s="4"/>
      <c r="D53" s="117" t="s">
        <v>338</v>
      </c>
      <c r="E53" s="118"/>
      <c r="F53" s="117"/>
      <c r="G53" s="69">
        <v>41.328000000000003</v>
      </c>
      <c r="H53" s="27"/>
    </row>
    <row r="54" spans="1:8" x14ac:dyDescent="0.2">
      <c r="A54" s="6" t="s">
        <v>24</v>
      </c>
      <c r="B54" s="6"/>
      <c r="C54" s="6" t="s">
        <v>103</v>
      </c>
      <c r="D54" s="107" t="s">
        <v>192</v>
      </c>
      <c r="E54" s="108"/>
      <c r="F54" s="6" t="s">
        <v>266</v>
      </c>
      <c r="G54" s="71">
        <v>27.896999999999998</v>
      </c>
      <c r="H54" s="17">
        <v>0</v>
      </c>
    </row>
    <row r="55" spans="1:8" ht="12.2" customHeight="1" x14ac:dyDescent="0.2">
      <c r="D55" s="119" t="s">
        <v>339</v>
      </c>
      <c r="E55" s="120"/>
      <c r="F55" s="120"/>
      <c r="G55" s="48">
        <v>27.896999999999998</v>
      </c>
    </row>
    <row r="56" spans="1:8" x14ac:dyDescent="0.2">
      <c r="A56" s="4" t="s">
        <v>25</v>
      </c>
      <c r="B56" s="4"/>
      <c r="C56" s="4" t="s">
        <v>104</v>
      </c>
      <c r="D56" s="103" t="s">
        <v>193</v>
      </c>
      <c r="E56" s="104"/>
      <c r="F56" s="4" t="s">
        <v>265</v>
      </c>
      <c r="G56" s="68">
        <v>18.664000000000001</v>
      </c>
      <c r="H56" s="16">
        <v>0</v>
      </c>
    </row>
    <row r="57" spans="1:8" ht="12.2" customHeight="1" x14ac:dyDescent="0.2">
      <c r="D57" s="117" t="s">
        <v>340</v>
      </c>
      <c r="E57" s="118"/>
      <c r="F57" s="118"/>
      <c r="G57" s="47">
        <v>18.664000000000001</v>
      </c>
    </row>
    <row r="58" spans="1:8" x14ac:dyDescent="0.2">
      <c r="A58" s="6" t="s">
        <v>26</v>
      </c>
      <c r="B58" s="6"/>
      <c r="C58" s="6" t="s">
        <v>105</v>
      </c>
      <c r="D58" s="107" t="s">
        <v>194</v>
      </c>
      <c r="E58" s="108"/>
      <c r="F58" s="6" t="s">
        <v>266</v>
      </c>
      <c r="G58" s="71">
        <v>33.642000000000003</v>
      </c>
      <c r="H58" s="17">
        <v>0</v>
      </c>
    </row>
    <row r="59" spans="1:8" ht="12.2" customHeight="1" x14ac:dyDescent="0.2">
      <c r="D59" s="119" t="s">
        <v>341</v>
      </c>
      <c r="E59" s="120"/>
      <c r="F59" s="120"/>
      <c r="G59" s="48">
        <v>32.661999999999999</v>
      </c>
    </row>
    <row r="60" spans="1:8" ht="12.2" customHeight="1" x14ac:dyDescent="0.2">
      <c r="A60" s="6"/>
      <c r="B60" s="6"/>
      <c r="C60" s="6"/>
      <c r="D60" s="119" t="s">
        <v>342</v>
      </c>
      <c r="E60" s="120"/>
      <c r="F60" s="119"/>
      <c r="G60" s="72">
        <v>0.98</v>
      </c>
      <c r="H60" s="29"/>
    </row>
    <row r="61" spans="1:8" x14ac:dyDescent="0.2">
      <c r="A61" s="4" t="s">
        <v>27</v>
      </c>
      <c r="B61" s="4"/>
      <c r="C61" s="4" t="s">
        <v>106</v>
      </c>
      <c r="D61" s="103" t="s">
        <v>195</v>
      </c>
      <c r="E61" s="104"/>
      <c r="F61" s="4" t="s">
        <v>265</v>
      </c>
      <c r="G61" s="68">
        <v>63.765000000000001</v>
      </c>
      <c r="H61" s="16">
        <v>0</v>
      </c>
    </row>
    <row r="62" spans="1:8" ht="12.2" customHeight="1" x14ac:dyDescent="0.2">
      <c r="D62" s="117" t="s">
        <v>334</v>
      </c>
      <c r="E62" s="118"/>
      <c r="F62" s="118"/>
      <c r="G62" s="47">
        <v>63.765000000000001</v>
      </c>
    </row>
    <row r="63" spans="1:8" x14ac:dyDescent="0.2">
      <c r="A63" s="13"/>
      <c r="B63" s="13"/>
      <c r="C63" s="13" t="s">
        <v>51</v>
      </c>
      <c r="D63" s="105" t="s">
        <v>196</v>
      </c>
      <c r="E63" s="106"/>
      <c r="F63" s="13"/>
      <c r="G63" s="70"/>
      <c r="H63" s="28"/>
    </row>
    <row r="64" spans="1:8" x14ac:dyDescent="0.2">
      <c r="A64" s="4" t="s">
        <v>28</v>
      </c>
      <c r="B64" s="4"/>
      <c r="C64" s="4" t="s">
        <v>107</v>
      </c>
      <c r="D64" s="103" t="s">
        <v>197</v>
      </c>
      <c r="E64" s="104"/>
      <c r="F64" s="4" t="s">
        <v>265</v>
      </c>
      <c r="G64" s="68">
        <v>3.8250000000000002</v>
      </c>
      <c r="H64" s="16">
        <v>0</v>
      </c>
    </row>
    <row r="65" spans="1:8" ht="12.2" customHeight="1" x14ac:dyDescent="0.2">
      <c r="D65" s="117" t="s">
        <v>343</v>
      </c>
      <c r="E65" s="118"/>
      <c r="F65" s="118"/>
      <c r="G65" s="47">
        <v>3.8250000000000002</v>
      </c>
    </row>
    <row r="66" spans="1:8" x14ac:dyDescent="0.2">
      <c r="A66" s="13"/>
      <c r="B66" s="13"/>
      <c r="C66" s="13" t="s">
        <v>62</v>
      </c>
      <c r="D66" s="105" t="s">
        <v>198</v>
      </c>
      <c r="E66" s="106"/>
      <c r="F66" s="13"/>
      <c r="G66" s="70"/>
      <c r="H66" s="28"/>
    </row>
    <row r="67" spans="1:8" x14ac:dyDescent="0.2">
      <c r="A67" s="4" t="s">
        <v>29</v>
      </c>
      <c r="B67" s="4"/>
      <c r="C67" s="4" t="s">
        <v>108</v>
      </c>
      <c r="D67" s="103" t="s">
        <v>199</v>
      </c>
      <c r="E67" s="104"/>
      <c r="F67" s="4" t="s">
        <v>263</v>
      </c>
      <c r="G67" s="68">
        <v>71.680999999999997</v>
      </c>
      <c r="H67" s="16">
        <v>0</v>
      </c>
    </row>
    <row r="68" spans="1:8" ht="12.2" customHeight="1" x14ac:dyDescent="0.2">
      <c r="D68" s="117" t="s">
        <v>324</v>
      </c>
      <c r="E68" s="118"/>
      <c r="F68" s="118"/>
      <c r="G68" s="47">
        <v>46.776000000000003</v>
      </c>
    </row>
    <row r="69" spans="1:8" ht="12.2" customHeight="1" x14ac:dyDescent="0.2">
      <c r="A69" s="4"/>
      <c r="B69" s="4"/>
      <c r="C69" s="4"/>
      <c r="D69" s="117" t="s">
        <v>325</v>
      </c>
      <c r="E69" s="118"/>
      <c r="F69" s="117"/>
      <c r="G69" s="69">
        <v>24.905000000000001</v>
      </c>
      <c r="H69" s="27"/>
    </row>
    <row r="70" spans="1:8" x14ac:dyDescent="0.2">
      <c r="A70" s="4" t="s">
        <v>30</v>
      </c>
      <c r="B70" s="4"/>
      <c r="C70" s="4" t="s">
        <v>109</v>
      </c>
      <c r="D70" s="103" t="s">
        <v>200</v>
      </c>
      <c r="E70" s="104"/>
      <c r="F70" s="4" t="s">
        <v>266</v>
      </c>
      <c r="G70" s="68">
        <v>54.191000000000003</v>
      </c>
      <c r="H70" s="16">
        <v>0</v>
      </c>
    </row>
    <row r="71" spans="1:8" ht="12.2" customHeight="1" x14ac:dyDescent="0.2">
      <c r="D71" s="117" t="s">
        <v>344</v>
      </c>
      <c r="E71" s="118"/>
      <c r="F71" s="118"/>
      <c r="G71" s="47">
        <v>35.363</v>
      </c>
    </row>
    <row r="72" spans="1:8" ht="12.2" customHeight="1" x14ac:dyDescent="0.2">
      <c r="A72" s="4"/>
      <c r="B72" s="4"/>
      <c r="C72" s="4"/>
      <c r="D72" s="117" t="s">
        <v>345</v>
      </c>
      <c r="E72" s="118"/>
      <c r="F72" s="117"/>
      <c r="G72" s="69">
        <v>18.827999999999999</v>
      </c>
      <c r="H72" s="27"/>
    </row>
    <row r="73" spans="1:8" x14ac:dyDescent="0.2">
      <c r="A73" s="13"/>
      <c r="B73" s="13"/>
      <c r="C73" s="13" t="s">
        <v>110</v>
      </c>
      <c r="D73" s="105" t="s">
        <v>201</v>
      </c>
      <c r="E73" s="106"/>
      <c r="F73" s="13"/>
      <c r="G73" s="70"/>
      <c r="H73" s="28"/>
    </row>
    <row r="74" spans="1:8" x14ac:dyDescent="0.2">
      <c r="A74" s="4" t="s">
        <v>31</v>
      </c>
      <c r="B74" s="4"/>
      <c r="C74" s="4" t="s">
        <v>111</v>
      </c>
      <c r="D74" s="103" t="s">
        <v>202</v>
      </c>
      <c r="E74" s="104"/>
      <c r="F74" s="4" t="s">
        <v>267</v>
      </c>
      <c r="G74" s="68">
        <v>1</v>
      </c>
      <c r="H74" s="16">
        <v>0</v>
      </c>
    </row>
    <row r="75" spans="1:8" ht="12.2" customHeight="1" x14ac:dyDescent="0.2">
      <c r="D75" s="117" t="s">
        <v>346</v>
      </c>
      <c r="E75" s="118"/>
      <c r="F75" s="118"/>
      <c r="G75" s="47">
        <v>1</v>
      </c>
    </row>
    <row r="76" spans="1:8" x14ac:dyDescent="0.2">
      <c r="A76" s="4" t="s">
        <v>32</v>
      </c>
      <c r="B76" s="4"/>
      <c r="C76" s="4" t="s">
        <v>112</v>
      </c>
      <c r="D76" s="103" t="s">
        <v>203</v>
      </c>
      <c r="E76" s="104"/>
      <c r="F76" s="4" t="s">
        <v>264</v>
      </c>
      <c r="G76" s="68">
        <v>58.47</v>
      </c>
      <c r="H76" s="16">
        <v>0</v>
      </c>
    </row>
    <row r="77" spans="1:8" ht="12.2" customHeight="1" x14ac:dyDescent="0.2">
      <c r="D77" s="117" t="s">
        <v>347</v>
      </c>
      <c r="E77" s="118"/>
      <c r="F77" s="118"/>
      <c r="G77" s="47">
        <v>58.47</v>
      </c>
    </row>
    <row r="78" spans="1:8" x14ac:dyDescent="0.2">
      <c r="A78" s="6" t="s">
        <v>33</v>
      </c>
      <c r="B78" s="6"/>
      <c r="C78" s="6" t="s">
        <v>113</v>
      </c>
      <c r="D78" s="107" t="s">
        <v>204</v>
      </c>
      <c r="E78" s="108"/>
      <c r="F78" s="6" t="s">
        <v>264</v>
      </c>
      <c r="G78" s="71">
        <v>61.393999999999998</v>
      </c>
      <c r="H78" s="17">
        <v>0</v>
      </c>
    </row>
    <row r="79" spans="1:8" ht="12.2" customHeight="1" x14ac:dyDescent="0.2">
      <c r="D79" s="119" t="s">
        <v>347</v>
      </c>
      <c r="E79" s="120"/>
      <c r="F79" s="120"/>
      <c r="G79" s="48">
        <v>58.47</v>
      </c>
    </row>
    <row r="80" spans="1:8" ht="12.2" customHeight="1" x14ac:dyDescent="0.2">
      <c r="A80" s="6"/>
      <c r="B80" s="6"/>
      <c r="C80" s="6"/>
      <c r="D80" s="119" t="s">
        <v>348</v>
      </c>
      <c r="E80" s="120"/>
      <c r="F80" s="119"/>
      <c r="G80" s="72">
        <v>2.9239999999999999</v>
      </c>
      <c r="H80" s="29"/>
    </row>
    <row r="81" spans="1:8" x14ac:dyDescent="0.2">
      <c r="A81" s="4" t="s">
        <v>34</v>
      </c>
      <c r="B81" s="4"/>
      <c r="C81" s="4" t="s">
        <v>114</v>
      </c>
      <c r="D81" s="103" t="s">
        <v>205</v>
      </c>
      <c r="E81" s="104"/>
      <c r="F81" s="4" t="s">
        <v>264</v>
      </c>
      <c r="G81" s="68">
        <v>275.33</v>
      </c>
      <c r="H81" s="16">
        <v>0</v>
      </c>
    </row>
    <row r="82" spans="1:8" ht="12.2" customHeight="1" x14ac:dyDescent="0.2">
      <c r="D82" s="117" t="s">
        <v>349</v>
      </c>
      <c r="E82" s="118"/>
      <c r="F82" s="118"/>
      <c r="G82" s="47">
        <v>275.33</v>
      </c>
    </row>
    <row r="83" spans="1:8" x14ac:dyDescent="0.2">
      <c r="A83" s="6" t="s">
        <v>35</v>
      </c>
      <c r="B83" s="6"/>
      <c r="C83" s="6" t="s">
        <v>115</v>
      </c>
      <c r="D83" s="107" t="s">
        <v>206</v>
      </c>
      <c r="E83" s="108"/>
      <c r="F83" s="6" t="s">
        <v>264</v>
      </c>
      <c r="G83" s="71">
        <v>289.09699999999998</v>
      </c>
      <c r="H83" s="17">
        <v>0</v>
      </c>
    </row>
    <row r="84" spans="1:8" ht="12.2" customHeight="1" x14ac:dyDescent="0.2">
      <c r="D84" s="119" t="s">
        <v>349</v>
      </c>
      <c r="E84" s="120"/>
      <c r="F84" s="120"/>
      <c r="G84" s="48">
        <v>275.33</v>
      </c>
    </row>
    <row r="85" spans="1:8" ht="12.2" customHeight="1" x14ac:dyDescent="0.2">
      <c r="A85" s="6"/>
      <c r="B85" s="6"/>
      <c r="C85" s="6"/>
      <c r="D85" s="119" t="s">
        <v>350</v>
      </c>
      <c r="E85" s="120"/>
      <c r="F85" s="119"/>
      <c r="G85" s="72">
        <v>13.766999999999999</v>
      </c>
      <c r="H85" s="29"/>
    </row>
    <row r="86" spans="1:8" x14ac:dyDescent="0.2">
      <c r="A86" s="4" t="s">
        <v>36</v>
      </c>
      <c r="B86" s="4"/>
      <c r="C86" s="4" t="s">
        <v>116</v>
      </c>
      <c r="D86" s="103" t="s">
        <v>207</v>
      </c>
      <c r="E86" s="104"/>
      <c r="F86" s="4" t="s">
        <v>264</v>
      </c>
      <c r="G86" s="68">
        <v>333.8</v>
      </c>
      <c r="H86" s="16">
        <v>0</v>
      </c>
    </row>
    <row r="87" spans="1:8" ht="12.2" customHeight="1" x14ac:dyDescent="0.2">
      <c r="D87" s="117" t="s">
        <v>351</v>
      </c>
      <c r="E87" s="118"/>
      <c r="F87" s="118"/>
      <c r="G87" s="47">
        <v>333.8</v>
      </c>
    </row>
    <row r="88" spans="1:8" x14ac:dyDescent="0.2">
      <c r="A88" s="4" t="s">
        <v>37</v>
      </c>
      <c r="B88" s="4"/>
      <c r="C88" s="4" t="s">
        <v>117</v>
      </c>
      <c r="D88" s="103" t="s">
        <v>208</v>
      </c>
      <c r="E88" s="104"/>
      <c r="F88" s="4" t="s">
        <v>267</v>
      </c>
      <c r="G88" s="68">
        <v>17</v>
      </c>
      <c r="H88" s="16">
        <v>0</v>
      </c>
    </row>
    <row r="89" spans="1:8" ht="12.2" customHeight="1" x14ac:dyDescent="0.2">
      <c r="D89" s="117" t="s">
        <v>352</v>
      </c>
      <c r="E89" s="118"/>
      <c r="F89" s="118"/>
      <c r="G89" s="47">
        <v>17</v>
      </c>
    </row>
    <row r="90" spans="1:8" x14ac:dyDescent="0.2">
      <c r="A90" s="6" t="s">
        <v>38</v>
      </c>
      <c r="B90" s="6"/>
      <c r="C90" s="6" t="s">
        <v>118</v>
      </c>
      <c r="D90" s="107" t="s">
        <v>209</v>
      </c>
      <c r="E90" s="108"/>
      <c r="F90" s="6" t="s">
        <v>267</v>
      </c>
      <c r="G90" s="71">
        <v>17</v>
      </c>
      <c r="H90" s="17">
        <v>0</v>
      </c>
    </row>
    <row r="91" spans="1:8" ht="12.2" customHeight="1" x14ac:dyDescent="0.2">
      <c r="D91" s="119" t="s">
        <v>352</v>
      </c>
      <c r="E91" s="120"/>
      <c r="F91" s="120"/>
      <c r="G91" s="48">
        <v>17</v>
      </c>
    </row>
    <row r="92" spans="1:8" x14ac:dyDescent="0.2">
      <c r="A92" s="4" t="s">
        <v>39</v>
      </c>
      <c r="B92" s="4"/>
      <c r="C92" s="4" t="s">
        <v>119</v>
      </c>
      <c r="D92" s="103" t="s">
        <v>210</v>
      </c>
      <c r="E92" s="104"/>
      <c r="F92" s="4" t="s">
        <v>267</v>
      </c>
      <c r="G92" s="68">
        <v>16</v>
      </c>
      <c r="H92" s="16">
        <v>0</v>
      </c>
    </row>
    <row r="93" spans="1:8" ht="12.2" customHeight="1" x14ac:dyDescent="0.2">
      <c r="D93" s="117" t="s">
        <v>353</v>
      </c>
      <c r="E93" s="118"/>
      <c r="F93" s="118"/>
      <c r="G93" s="47">
        <v>16</v>
      </c>
    </row>
    <row r="94" spans="1:8" x14ac:dyDescent="0.2">
      <c r="A94" s="6" t="s">
        <v>40</v>
      </c>
      <c r="B94" s="6"/>
      <c r="C94" s="6" t="s">
        <v>120</v>
      </c>
      <c r="D94" s="107" t="s">
        <v>211</v>
      </c>
      <c r="E94" s="108"/>
      <c r="F94" s="6" t="s">
        <v>267</v>
      </c>
      <c r="G94" s="71">
        <v>4</v>
      </c>
      <c r="H94" s="17">
        <v>0</v>
      </c>
    </row>
    <row r="95" spans="1:8" ht="12.2" customHeight="1" x14ac:dyDescent="0.2">
      <c r="D95" s="119" t="s">
        <v>354</v>
      </c>
      <c r="E95" s="120"/>
      <c r="F95" s="120"/>
      <c r="G95" s="48">
        <v>4</v>
      </c>
    </row>
    <row r="96" spans="1:8" x14ac:dyDescent="0.2">
      <c r="A96" s="6" t="s">
        <v>41</v>
      </c>
      <c r="B96" s="6"/>
      <c r="C96" s="6" t="s">
        <v>121</v>
      </c>
      <c r="D96" s="107" t="s">
        <v>212</v>
      </c>
      <c r="E96" s="108"/>
      <c r="F96" s="6" t="s">
        <v>267</v>
      </c>
      <c r="G96" s="71">
        <v>4</v>
      </c>
      <c r="H96" s="17">
        <v>0</v>
      </c>
    </row>
    <row r="97" spans="1:8" ht="12.2" customHeight="1" x14ac:dyDescent="0.2">
      <c r="D97" s="119" t="s">
        <v>354</v>
      </c>
      <c r="E97" s="120"/>
      <c r="F97" s="120"/>
      <c r="G97" s="48">
        <v>4</v>
      </c>
    </row>
    <row r="98" spans="1:8" x14ac:dyDescent="0.2">
      <c r="A98" s="6" t="s">
        <v>42</v>
      </c>
      <c r="B98" s="6"/>
      <c r="C98" s="6" t="s">
        <v>122</v>
      </c>
      <c r="D98" s="107" t="s">
        <v>213</v>
      </c>
      <c r="E98" s="108"/>
      <c r="F98" s="6" t="s">
        <v>267</v>
      </c>
      <c r="G98" s="71">
        <v>4</v>
      </c>
      <c r="H98" s="17">
        <v>0</v>
      </c>
    </row>
    <row r="99" spans="1:8" ht="12.2" customHeight="1" x14ac:dyDescent="0.2">
      <c r="D99" s="119" t="s">
        <v>354</v>
      </c>
      <c r="E99" s="120"/>
      <c r="F99" s="120"/>
      <c r="G99" s="48">
        <v>4</v>
      </c>
    </row>
    <row r="100" spans="1:8" x14ac:dyDescent="0.2">
      <c r="A100" s="6" t="s">
        <v>43</v>
      </c>
      <c r="B100" s="6"/>
      <c r="C100" s="6" t="s">
        <v>123</v>
      </c>
      <c r="D100" s="107" t="s">
        <v>214</v>
      </c>
      <c r="E100" s="108"/>
      <c r="F100" s="6" t="s">
        <v>267</v>
      </c>
      <c r="G100" s="71">
        <v>4</v>
      </c>
      <c r="H100" s="17">
        <v>0</v>
      </c>
    </row>
    <row r="101" spans="1:8" ht="12.2" customHeight="1" x14ac:dyDescent="0.2">
      <c r="D101" s="119" t="s">
        <v>354</v>
      </c>
      <c r="E101" s="120"/>
      <c r="F101" s="120"/>
      <c r="G101" s="48">
        <v>4</v>
      </c>
    </row>
    <row r="102" spans="1:8" x14ac:dyDescent="0.2">
      <c r="A102" s="4" t="s">
        <v>44</v>
      </c>
      <c r="B102" s="4"/>
      <c r="C102" s="4" t="s">
        <v>124</v>
      </c>
      <c r="D102" s="103" t="s">
        <v>215</v>
      </c>
      <c r="E102" s="104"/>
      <c r="F102" s="4" t="s">
        <v>267</v>
      </c>
      <c r="G102" s="68">
        <v>17</v>
      </c>
      <c r="H102" s="16">
        <v>0</v>
      </c>
    </row>
    <row r="103" spans="1:8" ht="12.2" customHeight="1" x14ac:dyDescent="0.2">
      <c r="D103" s="117" t="s">
        <v>352</v>
      </c>
      <c r="E103" s="118"/>
      <c r="F103" s="118"/>
      <c r="G103" s="47">
        <v>17</v>
      </c>
    </row>
    <row r="104" spans="1:8" x14ac:dyDescent="0.2">
      <c r="A104" s="13"/>
      <c r="B104" s="13"/>
      <c r="C104" s="13" t="s">
        <v>125</v>
      </c>
      <c r="D104" s="105" t="s">
        <v>216</v>
      </c>
      <c r="E104" s="106"/>
      <c r="F104" s="13"/>
      <c r="G104" s="70"/>
      <c r="H104" s="28"/>
    </row>
    <row r="105" spans="1:8" x14ac:dyDescent="0.2">
      <c r="A105" s="4" t="s">
        <v>45</v>
      </c>
      <c r="B105" s="4"/>
      <c r="C105" s="4" t="s">
        <v>126</v>
      </c>
      <c r="D105" s="103" t="s">
        <v>217</v>
      </c>
      <c r="E105" s="104"/>
      <c r="F105" s="4" t="s">
        <v>267</v>
      </c>
      <c r="G105" s="68">
        <v>17</v>
      </c>
      <c r="H105" s="16">
        <v>0</v>
      </c>
    </row>
    <row r="106" spans="1:8" ht="12.2" customHeight="1" x14ac:dyDescent="0.2">
      <c r="D106" s="117" t="s">
        <v>352</v>
      </c>
      <c r="E106" s="118"/>
      <c r="F106" s="118"/>
      <c r="G106" s="47">
        <v>17</v>
      </c>
    </row>
    <row r="107" spans="1:8" x14ac:dyDescent="0.2">
      <c r="A107" s="6" t="s">
        <v>46</v>
      </c>
      <c r="B107" s="6"/>
      <c r="C107" s="6" t="s">
        <v>127</v>
      </c>
      <c r="D107" s="107" t="s">
        <v>218</v>
      </c>
      <c r="E107" s="108"/>
      <c r="F107" s="6" t="s">
        <v>267</v>
      </c>
      <c r="G107" s="71">
        <v>17</v>
      </c>
      <c r="H107" s="17">
        <v>0</v>
      </c>
    </row>
    <row r="108" spans="1:8" ht="12.2" customHeight="1" x14ac:dyDescent="0.2">
      <c r="D108" s="119" t="s">
        <v>352</v>
      </c>
      <c r="E108" s="120"/>
      <c r="F108" s="120"/>
      <c r="G108" s="48">
        <v>17</v>
      </c>
    </row>
    <row r="109" spans="1:8" x14ac:dyDescent="0.2">
      <c r="A109" s="6" t="s">
        <v>47</v>
      </c>
      <c r="B109" s="6"/>
      <c r="C109" s="6" t="s">
        <v>128</v>
      </c>
      <c r="D109" s="107" t="s">
        <v>219</v>
      </c>
      <c r="E109" s="108"/>
      <c r="F109" s="6" t="s">
        <v>267</v>
      </c>
      <c r="G109" s="71">
        <v>17</v>
      </c>
      <c r="H109" s="17">
        <v>0</v>
      </c>
    </row>
    <row r="110" spans="1:8" ht="12.2" customHeight="1" x14ac:dyDescent="0.2">
      <c r="D110" s="119" t="s">
        <v>352</v>
      </c>
      <c r="E110" s="120"/>
      <c r="F110" s="120"/>
      <c r="G110" s="48">
        <v>17</v>
      </c>
    </row>
    <row r="111" spans="1:8" x14ac:dyDescent="0.2">
      <c r="A111" s="6" t="s">
        <v>48</v>
      </c>
      <c r="B111" s="6"/>
      <c r="C111" s="6" t="s">
        <v>129</v>
      </c>
      <c r="D111" s="107" t="s">
        <v>220</v>
      </c>
      <c r="E111" s="108"/>
      <c r="F111" s="6" t="s">
        <v>267</v>
      </c>
      <c r="G111" s="71">
        <v>17</v>
      </c>
      <c r="H111" s="17">
        <v>0</v>
      </c>
    </row>
    <row r="112" spans="1:8" ht="12.2" customHeight="1" x14ac:dyDescent="0.2">
      <c r="D112" s="119" t="s">
        <v>352</v>
      </c>
      <c r="E112" s="120"/>
      <c r="F112" s="120"/>
      <c r="G112" s="48">
        <v>17</v>
      </c>
    </row>
    <row r="113" spans="1:8" x14ac:dyDescent="0.2">
      <c r="A113" s="4" t="s">
        <v>49</v>
      </c>
      <c r="B113" s="4"/>
      <c r="C113" s="4" t="s">
        <v>130</v>
      </c>
      <c r="D113" s="103" t="s">
        <v>221</v>
      </c>
      <c r="E113" s="104"/>
      <c r="F113" s="4" t="s">
        <v>267</v>
      </c>
      <c r="G113" s="68">
        <v>3</v>
      </c>
      <c r="H113" s="16">
        <v>0</v>
      </c>
    </row>
    <row r="114" spans="1:8" ht="12.2" customHeight="1" x14ac:dyDescent="0.2">
      <c r="D114" s="117" t="s">
        <v>355</v>
      </c>
      <c r="E114" s="118"/>
      <c r="F114" s="118"/>
      <c r="G114" s="47">
        <v>3</v>
      </c>
    </row>
    <row r="115" spans="1:8" x14ac:dyDescent="0.2">
      <c r="A115" s="6" t="s">
        <v>50</v>
      </c>
      <c r="B115" s="6"/>
      <c r="C115" s="6" t="s">
        <v>131</v>
      </c>
      <c r="D115" s="107" t="s">
        <v>222</v>
      </c>
      <c r="E115" s="108"/>
      <c r="F115" s="6" t="s">
        <v>267</v>
      </c>
      <c r="G115" s="71">
        <v>3</v>
      </c>
      <c r="H115" s="17">
        <v>0</v>
      </c>
    </row>
    <row r="116" spans="1:8" ht="12.2" customHeight="1" x14ac:dyDescent="0.2">
      <c r="D116" s="119" t="s">
        <v>355</v>
      </c>
      <c r="E116" s="120"/>
      <c r="F116" s="120"/>
      <c r="G116" s="48">
        <v>3</v>
      </c>
    </row>
    <row r="117" spans="1:8" x14ac:dyDescent="0.2">
      <c r="A117" s="6" t="s">
        <v>51</v>
      </c>
      <c r="B117" s="6"/>
      <c r="C117" s="6" t="s">
        <v>128</v>
      </c>
      <c r="D117" s="107" t="s">
        <v>219</v>
      </c>
      <c r="E117" s="108"/>
      <c r="F117" s="6" t="s">
        <v>267</v>
      </c>
      <c r="G117" s="71">
        <v>3</v>
      </c>
      <c r="H117" s="17">
        <v>0</v>
      </c>
    </row>
    <row r="118" spans="1:8" ht="12.2" customHeight="1" x14ac:dyDescent="0.2">
      <c r="D118" s="119" t="s">
        <v>355</v>
      </c>
      <c r="E118" s="120"/>
      <c r="F118" s="120"/>
      <c r="G118" s="48">
        <v>3</v>
      </c>
    </row>
    <row r="119" spans="1:8" x14ac:dyDescent="0.2">
      <c r="A119" s="6" t="s">
        <v>52</v>
      </c>
      <c r="B119" s="6"/>
      <c r="C119" s="6" t="s">
        <v>129</v>
      </c>
      <c r="D119" s="107" t="s">
        <v>220</v>
      </c>
      <c r="E119" s="108"/>
      <c r="F119" s="6" t="s">
        <v>267</v>
      </c>
      <c r="G119" s="71">
        <v>3</v>
      </c>
      <c r="H119" s="17">
        <v>0</v>
      </c>
    </row>
    <row r="120" spans="1:8" ht="12.2" customHeight="1" x14ac:dyDescent="0.2">
      <c r="D120" s="119" t="s">
        <v>355</v>
      </c>
      <c r="E120" s="120"/>
      <c r="F120" s="120"/>
      <c r="G120" s="48">
        <v>3</v>
      </c>
    </row>
    <row r="121" spans="1:8" x14ac:dyDescent="0.2">
      <c r="A121" s="4" t="s">
        <v>53</v>
      </c>
      <c r="B121" s="4"/>
      <c r="C121" s="4" t="s">
        <v>132</v>
      </c>
      <c r="D121" s="103" t="s">
        <v>223</v>
      </c>
      <c r="E121" s="104"/>
      <c r="F121" s="4" t="s">
        <v>267</v>
      </c>
      <c r="G121" s="68">
        <v>3</v>
      </c>
      <c r="H121" s="16">
        <v>0</v>
      </c>
    </row>
    <row r="122" spans="1:8" ht="12.2" customHeight="1" x14ac:dyDescent="0.2">
      <c r="D122" s="117" t="s">
        <v>355</v>
      </c>
      <c r="E122" s="118"/>
      <c r="F122" s="118"/>
      <c r="G122" s="47">
        <v>3</v>
      </c>
    </row>
    <row r="123" spans="1:8" x14ac:dyDescent="0.2">
      <c r="A123" s="6" t="s">
        <v>54</v>
      </c>
      <c r="B123" s="6"/>
      <c r="C123" s="6" t="s">
        <v>133</v>
      </c>
      <c r="D123" s="107" t="s">
        <v>224</v>
      </c>
      <c r="E123" s="108"/>
      <c r="F123" s="6" t="s">
        <v>267</v>
      </c>
      <c r="G123" s="71">
        <v>3</v>
      </c>
      <c r="H123" s="17">
        <v>0</v>
      </c>
    </row>
    <row r="124" spans="1:8" ht="12.2" customHeight="1" x14ac:dyDescent="0.2">
      <c r="D124" s="119" t="s">
        <v>355</v>
      </c>
      <c r="E124" s="120"/>
      <c r="F124" s="120"/>
      <c r="G124" s="48">
        <v>3</v>
      </c>
    </row>
    <row r="125" spans="1:8" x14ac:dyDescent="0.2">
      <c r="A125" s="4" t="s">
        <v>55</v>
      </c>
      <c r="B125" s="4"/>
      <c r="C125" s="4" t="s">
        <v>134</v>
      </c>
      <c r="D125" s="103" t="s">
        <v>225</v>
      </c>
      <c r="E125" s="104"/>
      <c r="F125" s="4" t="s">
        <v>267</v>
      </c>
      <c r="G125" s="68">
        <v>1</v>
      </c>
      <c r="H125" s="16">
        <v>0</v>
      </c>
    </row>
    <row r="126" spans="1:8" ht="12.2" customHeight="1" x14ac:dyDescent="0.2">
      <c r="D126" s="117" t="s">
        <v>346</v>
      </c>
      <c r="E126" s="118"/>
      <c r="F126" s="118"/>
      <c r="G126" s="47">
        <v>1</v>
      </c>
    </row>
    <row r="127" spans="1:8" x14ac:dyDescent="0.2">
      <c r="A127" s="6" t="s">
        <v>56</v>
      </c>
      <c r="B127" s="6"/>
      <c r="C127" s="6" t="s">
        <v>135</v>
      </c>
      <c r="D127" s="107" t="s">
        <v>226</v>
      </c>
      <c r="E127" s="108"/>
      <c r="F127" s="6" t="s">
        <v>267</v>
      </c>
      <c r="G127" s="71">
        <v>1</v>
      </c>
      <c r="H127" s="17">
        <v>0</v>
      </c>
    </row>
    <row r="128" spans="1:8" ht="12.2" customHeight="1" x14ac:dyDescent="0.2">
      <c r="D128" s="119" t="s">
        <v>346</v>
      </c>
      <c r="E128" s="120"/>
      <c r="F128" s="120"/>
      <c r="G128" s="48">
        <v>1</v>
      </c>
    </row>
    <row r="129" spans="1:8" x14ac:dyDescent="0.2">
      <c r="A129" s="6" t="s">
        <v>57</v>
      </c>
      <c r="B129" s="6"/>
      <c r="C129" s="6" t="s">
        <v>136</v>
      </c>
      <c r="D129" s="107" t="s">
        <v>227</v>
      </c>
      <c r="E129" s="108"/>
      <c r="F129" s="6" t="s">
        <v>267</v>
      </c>
      <c r="G129" s="71">
        <v>1</v>
      </c>
      <c r="H129" s="17">
        <v>0</v>
      </c>
    </row>
    <row r="130" spans="1:8" ht="12.2" customHeight="1" x14ac:dyDescent="0.2">
      <c r="D130" s="119" t="s">
        <v>346</v>
      </c>
      <c r="E130" s="120"/>
      <c r="F130" s="120"/>
      <c r="G130" s="48">
        <v>1</v>
      </c>
    </row>
    <row r="131" spans="1:8" x14ac:dyDescent="0.2">
      <c r="A131" s="6" t="s">
        <v>58</v>
      </c>
      <c r="B131" s="6"/>
      <c r="C131" s="6" t="s">
        <v>137</v>
      </c>
      <c r="D131" s="107" t="s">
        <v>228</v>
      </c>
      <c r="E131" s="108"/>
      <c r="F131" s="6" t="s">
        <v>267</v>
      </c>
      <c r="G131" s="71">
        <v>1</v>
      </c>
      <c r="H131" s="17">
        <v>0</v>
      </c>
    </row>
    <row r="132" spans="1:8" ht="12.2" customHeight="1" x14ac:dyDescent="0.2">
      <c r="D132" s="119" t="s">
        <v>346</v>
      </c>
      <c r="E132" s="120"/>
      <c r="F132" s="120"/>
      <c r="G132" s="48">
        <v>1</v>
      </c>
    </row>
    <row r="133" spans="1:8" x14ac:dyDescent="0.2">
      <c r="A133" s="4" t="s">
        <v>59</v>
      </c>
      <c r="B133" s="4"/>
      <c r="C133" s="4" t="s">
        <v>138</v>
      </c>
      <c r="D133" s="103" t="s">
        <v>229</v>
      </c>
      <c r="E133" s="104"/>
      <c r="F133" s="4" t="s">
        <v>267</v>
      </c>
      <c r="G133" s="68">
        <v>1</v>
      </c>
      <c r="H133" s="16">
        <v>0</v>
      </c>
    </row>
    <row r="134" spans="1:8" ht="12.2" customHeight="1" x14ac:dyDescent="0.2">
      <c r="D134" s="117" t="s">
        <v>346</v>
      </c>
      <c r="E134" s="118"/>
      <c r="F134" s="118"/>
      <c r="G134" s="47">
        <v>1</v>
      </c>
    </row>
    <row r="135" spans="1:8" x14ac:dyDescent="0.2">
      <c r="A135" s="6" t="s">
        <v>60</v>
      </c>
      <c r="B135" s="6"/>
      <c r="C135" s="6" t="s">
        <v>139</v>
      </c>
      <c r="D135" s="107" t="s">
        <v>230</v>
      </c>
      <c r="E135" s="108"/>
      <c r="F135" s="6" t="s">
        <v>267</v>
      </c>
      <c r="G135" s="71">
        <v>1</v>
      </c>
      <c r="H135" s="17">
        <v>0</v>
      </c>
    </row>
    <row r="136" spans="1:8" ht="12.2" customHeight="1" x14ac:dyDescent="0.2">
      <c r="D136" s="119" t="s">
        <v>346</v>
      </c>
      <c r="E136" s="120"/>
      <c r="F136" s="120"/>
      <c r="G136" s="48">
        <v>1</v>
      </c>
    </row>
    <row r="137" spans="1:8" x14ac:dyDescent="0.2">
      <c r="A137" s="4" t="s">
        <v>61</v>
      </c>
      <c r="B137" s="4"/>
      <c r="C137" s="4" t="s">
        <v>140</v>
      </c>
      <c r="D137" s="103" t="s">
        <v>231</v>
      </c>
      <c r="E137" s="104"/>
      <c r="F137" s="4" t="s">
        <v>267</v>
      </c>
      <c r="G137" s="68">
        <v>17</v>
      </c>
      <c r="H137" s="16">
        <v>0</v>
      </c>
    </row>
    <row r="138" spans="1:8" ht="12.2" customHeight="1" x14ac:dyDescent="0.2">
      <c r="D138" s="117" t="s">
        <v>352</v>
      </c>
      <c r="E138" s="118"/>
      <c r="F138" s="118"/>
      <c r="G138" s="47">
        <v>17</v>
      </c>
    </row>
    <row r="139" spans="1:8" x14ac:dyDescent="0.2">
      <c r="A139" s="6" t="s">
        <v>62</v>
      </c>
      <c r="B139" s="6"/>
      <c r="C139" s="6" t="s">
        <v>141</v>
      </c>
      <c r="D139" s="107" t="s">
        <v>232</v>
      </c>
      <c r="E139" s="108"/>
      <c r="F139" s="6" t="s">
        <v>267</v>
      </c>
      <c r="G139" s="71">
        <v>17</v>
      </c>
      <c r="H139" s="17">
        <v>0</v>
      </c>
    </row>
    <row r="140" spans="1:8" ht="12.2" customHeight="1" x14ac:dyDescent="0.2">
      <c r="D140" s="119" t="s">
        <v>352</v>
      </c>
      <c r="E140" s="120"/>
      <c r="F140" s="120"/>
      <c r="G140" s="48">
        <v>17</v>
      </c>
    </row>
    <row r="141" spans="1:8" x14ac:dyDescent="0.2">
      <c r="A141" s="4" t="s">
        <v>63</v>
      </c>
      <c r="B141" s="4"/>
      <c r="C141" s="4" t="s">
        <v>142</v>
      </c>
      <c r="D141" s="103" t="s">
        <v>233</v>
      </c>
      <c r="E141" s="104"/>
      <c r="F141" s="4" t="s">
        <v>267</v>
      </c>
      <c r="G141" s="68">
        <v>2</v>
      </c>
      <c r="H141" s="16">
        <v>0</v>
      </c>
    </row>
    <row r="142" spans="1:8" ht="12.2" customHeight="1" x14ac:dyDescent="0.2">
      <c r="D142" s="117" t="s">
        <v>356</v>
      </c>
      <c r="E142" s="118"/>
      <c r="F142" s="118"/>
      <c r="G142" s="47">
        <v>2</v>
      </c>
    </row>
    <row r="143" spans="1:8" x14ac:dyDescent="0.2">
      <c r="A143" s="6" t="s">
        <v>64</v>
      </c>
      <c r="B143" s="6"/>
      <c r="C143" s="6" t="s">
        <v>143</v>
      </c>
      <c r="D143" s="107" t="s">
        <v>234</v>
      </c>
      <c r="E143" s="108"/>
      <c r="F143" s="6" t="s">
        <v>267</v>
      </c>
      <c r="G143" s="71">
        <v>2</v>
      </c>
      <c r="H143" s="17">
        <v>0</v>
      </c>
    </row>
    <row r="144" spans="1:8" ht="12.2" customHeight="1" x14ac:dyDescent="0.2">
      <c r="D144" s="119" t="s">
        <v>356</v>
      </c>
      <c r="E144" s="120"/>
      <c r="F144" s="120"/>
      <c r="G144" s="48">
        <v>2</v>
      </c>
    </row>
    <row r="145" spans="1:8" x14ac:dyDescent="0.2">
      <c r="A145" s="4" t="s">
        <v>65</v>
      </c>
      <c r="B145" s="4"/>
      <c r="C145" s="4" t="s">
        <v>144</v>
      </c>
      <c r="D145" s="103" t="s">
        <v>235</v>
      </c>
      <c r="E145" s="104"/>
      <c r="F145" s="4" t="s">
        <v>264</v>
      </c>
      <c r="G145" s="68">
        <v>58.47</v>
      </c>
      <c r="H145" s="16">
        <v>0</v>
      </c>
    </row>
    <row r="146" spans="1:8" ht="12.2" customHeight="1" x14ac:dyDescent="0.2">
      <c r="D146" s="117" t="s">
        <v>347</v>
      </c>
      <c r="E146" s="118"/>
      <c r="F146" s="118"/>
      <c r="G146" s="47">
        <v>58.47</v>
      </c>
    </row>
    <row r="147" spans="1:8" x14ac:dyDescent="0.2">
      <c r="A147" s="4" t="s">
        <v>66</v>
      </c>
      <c r="B147" s="4"/>
      <c r="C147" s="4" t="s">
        <v>145</v>
      </c>
      <c r="D147" s="103" t="s">
        <v>236</v>
      </c>
      <c r="E147" s="104"/>
      <c r="F147" s="4" t="s">
        <v>264</v>
      </c>
      <c r="G147" s="68">
        <v>275.33</v>
      </c>
      <c r="H147" s="16">
        <v>0</v>
      </c>
    </row>
    <row r="148" spans="1:8" ht="12.2" customHeight="1" x14ac:dyDescent="0.2">
      <c r="D148" s="117" t="s">
        <v>349</v>
      </c>
      <c r="E148" s="118"/>
      <c r="F148" s="118"/>
      <c r="G148" s="47">
        <v>275.33</v>
      </c>
    </row>
    <row r="149" spans="1:8" x14ac:dyDescent="0.2">
      <c r="A149" s="4" t="s">
        <v>67</v>
      </c>
      <c r="B149" s="4"/>
      <c r="C149" s="4" t="s">
        <v>146</v>
      </c>
      <c r="D149" s="103" t="s">
        <v>237</v>
      </c>
      <c r="E149" s="104"/>
      <c r="F149" s="4" t="s">
        <v>264</v>
      </c>
      <c r="G149" s="68">
        <v>333.8</v>
      </c>
      <c r="H149" s="16">
        <v>0</v>
      </c>
    </row>
    <row r="150" spans="1:8" ht="12.2" customHeight="1" x14ac:dyDescent="0.2">
      <c r="D150" s="117" t="s">
        <v>351</v>
      </c>
      <c r="E150" s="118"/>
      <c r="F150" s="118"/>
      <c r="G150" s="47">
        <v>333.8</v>
      </c>
    </row>
    <row r="151" spans="1:8" x14ac:dyDescent="0.2">
      <c r="A151" s="4" t="s">
        <v>68</v>
      </c>
      <c r="B151" s="4"/>
      <c r="C151" s="4" t="s">
        <v>147</v>
      </c>
      <c r="D151" s="103" t="s">
        <v>238</v>
      </c>
      <c r="E151" s="104"/>
      <c r="F151" s="4" t="s">
        <v>268</v>
      </c>
      <c r="G151" s="68">
        <v>1</v>
      </c>
      <c r="H151" s="16">
        <v>0</v>
      </c>
    </row>
    <row r="152" spans="1:8" ht="12.2" customHeight="1" x14ac:dyDescent="0.2">
      <c r="D152" s="117" t="s">
        <v>346</v>
      </c>
      <c r="E152" s="118"/>
      <c r="F152" s="118"/>
      <c r="G152" s="47">
        <v>1</v>
      </c>
    </row>
    <row r="153" spans="1:8" x14ac:dyDescent="0.2">
      <c r="A153" s="4" t="s">
        <v>69</v>
      </c>
      <c r="B153" s="4"/>
      <c r="C153" s="4" t="s">
        <v>148</v>
      </c>
      <c r="D153" s="103" t="s">
        <v>239</v>
      </c>
      <c r="E153" s="104"/>
      <c r="F153" s="4" t="s">
        <v>268</v>
      </c>
      <c r="G153" s="68">
        <v>1</v>
      </c>
      <c r="H153" s="16">
        <v>0</v>
      </c>
    </row>
    <row r="154" spans="1:8" ht="12.2" customHeight="1" x14ac:dyDescent="0.2">
      <c r="D154" s="117" t="s">
        <v>346</v>
      </c>
      <c r="E154" s="118"/>
      <c r="F154" s="118"/>
      <c r="G154" s="47">
        <v>1</v>
      </c>
    </row>
    <row r="155" spans="1:8" x14ac:dyDescent="0.2">
      <c r="A155" s="4" t="s">
        <v>70</v>
      </c>
      <c r="B155" s="4"/>
      <c r="C155" s="4" t="s">
        <v>149</v>
      </c>
      <c r="D155" s="103" t="s">
        <v>240</v>
      </c>
      <c r="E155" s="104"/>
      <c r="F155" s="4" t="s">
        <v>267</v>
      </c>
      <c r="G155" s="68">
        <v>1</v>
      </c>
      <c r="H155" s="16">
        <v>0</v>
      </c>
    </row>
    <row r="156" spans="1:8" ht="12.2" customHeight="1" x14ac:dyDescent="0.2">
      <c r="D156" s="117" t="s">
        <v>346</v>
      </c>
      <c r="E156" s="118"/>
      <c r="F156" s="118"/>
      <c r="G156" s="47">
        <v>1</v>
      </c>
    </row>
    <row r="157" spans="1:8" x14ac:dyDescent="0.2">
      <c r="A157" s="4" t="s">
        <v>71</v>
      </c>
      <c r="B157" s="4"/>
      <c r="C157" s="4" t="s">
        <v>150</v>
      </c>
      <c r="D157" s="103" t="s">
        <v>241</v>
      </c>
      <c r="E157" s="104"/>
      <c r="F157" s="4" t="s">
        <v>267</v>
      </c>
      <c r="G157" s="68">
        <v>17</v>
      </c>
      <c r="H157" s="16">
        <v>0</v>
      </c>
    </row>
    <row r="158" spans="1:8" ht="12.2" customHeight="1" x14ac:dyDescent="0.2">
      <c r="D158" s="117" t="s">
        <v>352</v>
      </c>
      <c r="E158" s="118"/>
      <c r="F158" s="118"/>
      <c r="G158" s="47">
        <v>17</v>
      </c>
    </row>
    <row r="159" spans="1:8" x14ac:dyDescent="0.2">
      <c r="A159" s="4" t="s">
        <v>72</v>
      </c>
      <c r="B159" s="4"/>
      <c r="C159" s="4" t="s">
        <v>151</v>
      </c>
      <c r="D159" s="103" t="s">
        <v>242</v>
      </c>
      <c r="E159" s="104"/>
      <c r="F159" s="4" t="s">
        <v>267</v>
      </c>
      <c r="G159" s="68">
        <v>20</v>
      </c>
      <c r="H159" s="16">
        <v>0</v>
      </c>
    </row>
    <row r="160" spans="1:8" ht="12.2" customHeight="1" x14ac:dyDescent="0.2">
      <c r="D160" s="117" t="s">
        <v>357</v>
      </c>
      <c r="E160" s="118"/>
      <c r="F160" s="118"/>
      <c r="G160" s="47">
        <v>20</v>
      </c>
    </row>
    <row r="161" spans="1:8" x14ac:dyDescent="0.2">
      <c r="A161" s="4" t="s">
        <v>73</v>
      </c>
      <c r="B161" s="4"/>
      <c r="C161" s="4" t="s">
        <v>152</v>
      </c>
      <c r="D161" s="103" t="s">
        <v>243</v>
      </c>
      <c r="E161" s="104"/>
      <c r="F161" s="4" t="s">
        <v>264</v>
      </c>
      <c r="G161" s="68">
        <v>333.8</v>
      </c>
      <c r="H161" s="16">
        <v>0</v>
      </c>
    </row>
    <row r="162" spans="1:8" ht="12.2" customHeight="1" x14ac:dyDescent="0.2">
      <c r="D162" s="117" t="s">
        <v>351</v>
      </c>
      <c r="E162" s="118"/>
      <c r="F162" s="118"/>
      <c r="G162" s="47">
        <v>333.8</v>
      </c>
    </row>
    <row r="163" spans="1:8" x14ac:dyDescent="0.2">
      <c r="A163" s="4" t="s">
        <v>74</v>
      </c>
      <c r="B163" s="4"/>
      <c r="C163" s="4" t="s">
        <v>153</v>
      </c>
      <c r="D163" s="103" t="s">
        <v>244</v>
      </c>
      <c r="E163" s="104"/>
      <c r="F163" s="4" t="s">
        <v>264</v>
      </c>
      <c r="G163" s="68">
        <v>333.8</v>
      </c>
      <c r="H163" s="16">
        <v>0</v>
      </c>
    </row>
    <row r="164" spans="1:8" ht="12.2" customHeight="1" x14ac:dyDescent="0.2">
      <c r="D164" s="117" t="s">
        <v>351</v>
      </c>
      <c r="E164" s="118"/>
      <c r="F164" s="118"/>
      <c r="G164" s="47">
        <v>333.8</v>
      </c>
    </row>
    <row r="165" spans="1:8" x14ac:dyDescent="0.2">
      <c r="A165" s="13"/>
      <c r="B165" s="13"/>
      <c r="C165" s="13" t="s">
        <v>154</v>
      </c>
      <c r="D165" s="105" t="s">
        <v>245</v>
      </c>
      <c r="E165" s="106"/>
      <c r="F165" s="13"/>
      <c r="G165" s="70"/>
      <c r="H165" s="28"/>
    </row>
    <row r="166" spans="1:8" x14ac:dyDescent="0.2">
      <c r="A166" s="4" t="s">
        <v>75</v>
      </c>
      <c r="B166" s="4"/>
      <c r="C166" s="4" t="s">
        <v>155</v>
      </c>
      <c r="D166" s="103" t="s">
        <v>246</v>
      </c>
      <c r="E166" s="104"/>
      <c r="F166" s="4" t="s">
        <v>266</v>
      </c>
      <c r="G166" s="68">
        <v>60.058999999999997</v>
      </c>
      <c r="H166" s="16">
        <v>0</v>
      </c>
    </row>
    <row r="167" spans="1:8" ht="12.2" customHeight="1" x14ac:dyDescent="0.2">
      <c r="D167" s="117" t="s">
        <v>358</v>
      </c>
      <c r="E167" s="118"/>
      <c r="F167" s="118"/>
      <c r="G167" s="47">
        <v>60.058999999999997</v>
      </c>
    </row>
    <row r="168" spans="1:8" x14ac:dyDescent="0.2">
      <c r="A168" s="4" t="s">
        <v>76</v>
      </c>
      <c r="B168" s="4"/>
      <c r="C168" s="4" t="s">
        <v>156</v>
      </c>
      <c r="D168" s="103" t="s">
        <v>247</v>
      </c>
      <c r="E168" s="104"/>
      <c r="F168" s="4" t="s">
        <v>266</v>
      </c>
      <c r="G168" s="68">
        <v>420.41300000000001</v>
      </c>
      <c r="H168" s="16">
        <v>0</v>
      </c>
    </row>
    <row r="169" spans="1:8" ht="12.2" customHeight="1" x14ac:dyDescent="0.2">
      <c r="D169" s="117" t="s">
        <v>359</v>
      </c>
      <c r="E169" s="118"/>
      <c r="F169" s="118"/>
      <c r="G169" s="47">
        <v>420.41300000000001</v>
      </c>
    </row>
    <row r="170" spans="1:8" x14ac:dyDescent="0.2">
      <c r="A170" s="4" t="s">
        <v>77</v>
      </c>
      <c r="B170" s="4"/>
      <c r="C170" s="4" t="s">
        <v>157</v>
      </c>
      <c r="D170" s="103" t="s">
        <v>248</v>
      </c>
      <c r="E170" s="104"/>
      <c r="F170" s="4" t="s">
        <v>266</v>
      </c>
      <c r="G170" s="68">
        <v>60.058999999999997</v>
      </c>
      <c r="H170" s="16">
        <v>0</v>
      </c>
    </row>
    <row r="171" spans="1:8" ht="12.2" customHeight="1" x14ac:dyDescent="0.2">
      <c r="D171" s="117" t="s">
        <v>358</v>
      </c>
      <c r="E171" s="118"/>
      <c r="F171" s="118"/>
      <c r="G171" s="47">
        <v>60.058999999999997</v>
      </c>
    </row>
    <row r="172" spans="1:8" x14ac:dyDescent="0.2">
      <c r="A172" s="4" t="s">
        <v>78</v>
      </c>
      <c r="B172" s="4"/>
      <c r="C172" s="4" t="s">
        <v>158</v>
      </c>
      <c r="D172" s="103" t="s">
        <v>249</v>
      </c>
      <c r="E172" s="104"/>
      <c r="F172" s="4" t="s">
        <v>266</v>
      </c>
      <c r="G172" s="68">
        <v>60.058999999999997</v>
      </c>
      <c r="H172" s="16">
        <v>0</v>
      </c>
    </row>
    <row r="173" spans="1:8" ht="12.2" customHeight="1" x14ac:dyDescent="0.2">
      <c r="D173" s="117" t="s">
        <v>358</v>
      </c>
      <c r="E173" s="118"/>
      <c r="F173" s="118"/>
      <c r="G173" s="47">
        <v>60.058999999999997</v>
      </c>
    </row>
    <row r="174" spans="1:8" x14ac:dyDescent="0.2">
      <c r="A174" s="13"/>
      <c r="B174" s="13"/>
      <c r="C174" s="13" t="s">
        <v>159</v>
      </c>
      <c r="D174" s="105" t="s">
        <v>250</v>
      </c>
      <c r="E174" s="106"/>
      <c r="F174" s="13"/>
      <c r="G174" s="70"/>
      <c r="H174" s="28"/>
    </row>
    <row r="175" spans="1:8" x14ac:dyDescent="0.2">
      <c r="A175" s="4" t="s">
        <v>79</v>
      </c>
      <c r="B175" s="4"/>
      <c r="C175" s="4" t="s">
        <v>160</v>
      </c>
      <c r="D175" s="103" t="s">
        <v>251</v>
      </c>
      <c r="E175" s="104"/>
      <c r="F175" s="4" t="s">
        <v>266</v>
      </c>
      <c r="G175" s="68">
        <v>72.316000000000003</v>
      </c>
      <c r="H175" s="16">
        <v>0</v>
      </c>
    </row>
    <row r="176" spans="1:8" ht="12.2" customHeight="1" x14ac:dyDescent="0.2">
      <c r="D176" s="117" t="s">
        <v>360</v>
      </c>
      <c r="E176" s="118"/>
      <c r="F176" s="118"/>
      <c r="G176" s="47">
        <v>72.316000000000003</v>
      </c>
    </row>
    <row r="177" spans="1:8" x14ac:dyDescent="0.2">
      <c r="A177" s="13"/>
      <c r="B177" s="13"/>
      <c r="C177" s="13" t="s">
        <v>161</v>
      </c>
      <c r="D177" s="105" t="s">
        <v>252</v>
      </c>
      <c r="E177" s="106"/>
      <c r="F177" s="13"/>
      <c r="G177" s="70"/>
      <c r="H177" s="28"/>
    </row>
    <row r="178" spans="1:8" x14ac:dyDescent="0.2">
      <c r="A178" s="4" t="s">
        <v>80</v>
      </c>
      <c r="B178" s="4"/>
      <c r="C178" s="4" t="s">
        <v>162</v>
      </c>
      <c r="D178" s="103" t="s">
        <v>253</v>
      </c>
      <c r="E178" s="104"/>
      <c r="F178" s="4" t="s">
        <v>266</v>
      </c>
      <c r="G178" s="68">
        <v>175.09100000000001</v>
      </c>
      <c r="H178" s="16">
        <v>0</v>
      </c>
    </row>
    <row r="179" spans="1:8" ht="12.2" customHeight="1" x14ac:dyDescent="0.2">
      <c r="D179" s="117" t="s">
        <v>361</v>
      </c>
      <c r="E179" s="118"/>
      <c r="F179" s="118"/>
      <c r="G179" s="47">
        <v>175.09100000000001</v>
      </c>
    </row>
    <row r="180" spans="1:8" x14ac:dyDescent="0.2">
      <c r="A180" s="13"/>
      <c r="B180" s="13"/>
      <c r="C180" s="13" t="s">
        <v>163</v>
      </c>
      <c r="D180" s="105" t="s">
        <v>254</v>
      </c>
      <c r="E180" s="106"/>
      <c r="F180" s="13"/>
      <c r="G180" s="70"/>
      <c r="H180" s="28"/>
    </row>
    <row r="181" spans="1:8" x14ac:dyDescent="0.2">
      <c r="A181" s="4" t="s">
        <v>81</v>
      </c>
      <c r="B181" s="4"/>
      <c r="C181" s="4" t="s">
        <v>164</v>
      </c>
      <c r="D181" s="103" t="s">
        <v>255</v>
      </c>
      <c r="E181" s="104"/>
      <c r="F181" s="4" t="s">
        <v>267</v>
      </c>
      <c r="G181" s="68">
        <v>1</v>
      </c>
      <c r="H181" s="16">
        <v>0</v>
      </c>
    </row>
    <row r="182" spans="1:8" ht="12.2" customHeight="1" x14ac:dyDescent="0.2">
      <c r="D182" s="117" t="s">
        <v>346</v>
      </c>
      <c r="E182" s="118"/>
      <c r="F182" s="118"/>
      <c r="G182" s="47">
        <v>1</v>
      </c>
    </row>
    <row r="183" spans="1:8" x14ac:dyDescent="0.2">
      <c r="A183" s="4" t="s">
        <v>82</v>
      </c>
      <c r="B183" s="4"/>
      <c r="C183" s="4" t="s">
        <v>165</v>
      </c>
      <c r="D183" s="103" t="s">
        <v>256</v>
      </c>
      <c r="E183" s="104"/>
      <c r="F183" s="4" t="s">
        <v>267</v>
      </c>
      <c r="G183" s="68">
        <v>1</v>
      </c>
      <c r="H183" s="16">
        <v>0</v>
      </c>
    </row>
    <row r="184" spans="1:8" ht="12.2" customHeight="1" x14ac:dyDescent="0.2">
      <c r="D184" s="117" t="s">
        <v>346</v>
      </c>
      <c r="E184" s="118"/>
      <c r="F184" s="118"/>
      <c r="G184" s="47">
        <v>1</v>
      </c>
    </row>
    <row r="185" spans="1:8" x14ac:dyDescent="0.2">
      <c r="A185" s="4" t="s">
        <v>83</v>
      </c>
      <c r="B185" s="4"/>
      <c r="C185" s="4" t="s">
        <v>166</v>
      </c>
      <c r="D185" s="103" t="s">
        <v>257</v>
      </c>
      <c r="E185" s="104"/>
      <c r="F185" s="4" t="s">
        <v>267</v>
      </c>
      <c r="G185" s="68">
        <v>1</v>
      </c>
      <c r="H185" s="16">
        <v>0</v>
      </c>
    </row>
    <row r="186" spans="1:8" ht="12.2" customHeight="1" x14ac:dyDescent="0.2">
      <c r="D186" s="117" t="s">
        <v>346</v>
      </c>
      <c r="E186" s="118"/>
      <c r="F186" s="118"/>
      <c r="G186" s="47">
        <v>1</v>
      </c>
    </row>
    <row r="188" spans="1:8" ht="11.25" customHeight="1" x14ac:dyDescent="0.2">
      <c r="A188" s="9" t="s">
        <v>84</v>
      </c>
    </row>
    <row r="189" spans="1:8" x14ac:dyDescent="0.2">
      <c r="A189" s="87"/>
      <c r="B189" s="79"/>
      <c r="C189" s="79"/>
      <c r="D189" s="79"/>
      <c r="E189" s="79"/>
      <c r="F189" s="79"/>
      <c r="G189" s="79"/>
    </row>
  </sheetData>
  <mergeCells count="195">
    <mergeCell ref="D184:F184"/>
    <mergeCell ref="D185:E185"/>
    <mergeCell ref="D186:F186"/>
    <mergeCell ref="A189:G189"/>
    <mergeCell ref="D178:E178"/>
    <mergeCell ref="D179:F179"/>
    <mergeCell ref="D180:E180"/>
    <mergeCell ref="D181:E181"/>
    <mergeCell ref="D182:F182"/>
    <mergeCell ref="D183:E183"/>
    <mergeCell ref="D172:E172"/>
    <mergeCell ref="D173:F173"/>
    <mergeCell ref="D174:E174"/>
    <mergeCell ref="D175:E175"/>
    <mergeCell ref="D176:F176"/>
    <mergeCell ref="D177:E177"/>
    <mergeCell ref="D166:E166"/>
    <mergeCell ref="D167:F167"/>
    <mergeCell ref="D168:E168"/>
    <mergeCell ref="D169:F169"/>
    <mergeCell ref="D170:E170"/>
    <mergeCell ref="D171:F171"/>
    <mergeCell ref="D160:F160"/>
    <mergeCell ref="D161:E161"/>
    <mergeCell ref="D162:F162"/>
    <mergeCell ref="D163:E163"/>
    <mergeCell ref="D164:F164"/>
    <mergeCell ref="D165:E165"/>
    <mergeCell ref="D154:F154"/>
    <mergeCell ref="D155:E155"/>
    <mergeCell ref="D156:F156"/>
    <mergeCell ref="D157:E157"/>
    <mergeCell ref="D158:F158"/>
    <mergeCell ref="D159:E159"/>
    <mergeCell ref="D148:F148"/>
    <mergeCell ref="D149:E149"/>
    <mergeCell ref="D150:F150"/>
    <mergeCell ref="D151:E151"/>
    <mergeCell ref="D152:F152"/>
    <mergeCell ref="D153:E153"/>
    <mergeCell ref="D142:F142"/>
    <mergeCell ref="D143:E143"/>
    <mergeCell ref="D144:F144"/>
    <mergeCell ref="D145:E145"/>
    <mergeCell ref="D146:F146"/>
    <mergeCell ref="D147:E147"/>
    <mergeCell ref="D136:F136"/>
    <mergeCell ref="D137:E137"/>
    <mergeCell ref="D138:F138"/>
    <mergeCell ref="D139:E139"/>
    <mergeCell ref="D140:F140"/>
    <mergeCell ref="D141:E141"/>
    <mergeCell ref="D130:F130"/>
    <mergeCell ref="D131:E131"/>
    <mergeCell ref="D132:F132"/>
    <mergeCell ref="D133:E133"/>
    <mergeCell ref="D134:F134"/>
    <mergeCell ref="D135:E135"/>
    <mergeCell ref="D124:F124"/>
    <mergeCell ref="D125:E125"/>
    <mergeCell ref="D126:F126"/>
    <mergeCell ref="D127:E127"/>
    <mergeCell ref="D128:F128"/>
    <mergeCell ref="D129:E129"/>
    <mergeCell ref="D118:F118"/>
    <mergeCell ref="D119:E119"/>
    <mergeCell ref="D120:F120"/>
    <mergeCell ref="D121:E121"/>
    <mergeCell ref="D122:F122"/>
    <mergeCell ref="D123:E123"/>
    <mergeCell ref="D112:F112"/>
    <mergeCell ref="D113:E113"/>
    <mergeCell ref="D114:F114"/>
    <mergeCell ref="D115:E115"/>
    <mergeCell ref="D116:F116"/>
    <mergeCell ref="D117:E117"/>
    <mergeCell ref="D106:F106"/>
    <mergeCell ref="D107:E107"/>
    <mergeCell ref="D108:F108"/>
    <mergeCell ref="D109:E109"/>
    <mergeCell ref="D110:F110"/>
    <mergeCell ref="D111:E111"/>
    <mergeCell ref="D100:E100"/>
    <mergeCell ref="D101:F101"/>
    <mergeCell ref="D102:E102"/>
    <mergeCell ref="D103:F103"/>
    <mergeCell ref="D104:E104"/>
    <mergeCell ref="D105:E105"/>
    <mergeCell ref="D94:E94"/>
    <mergeCell ref="D95:F95"/>
    <mergeCell ref="D96:E96"/>
    <mergeCell ref="D97:F97"/>
    <mergeCell ref="D98:E98"/>
    <mergeCell ref="D99:F99"/>
    <mergeCell ref="D88:E88"/>
    <mergeCell ref="D89:F89"/>
    <mergeCell ref="D90:E90"/>
    <mergeCell ref="D91:F91"/>
    <mergeCell ref="D92:E92"/>
    <mergeCell ref="D93:F93"/>
    <mergeCell ref="D82:F82"/>
    <mergeCell ref="D83:E83"/>
    <mergeCell ref="D84:F84"/>
    <mergeCell ref="D85:F85"/>
    <mergeCell ref="D86:E86"/>
    <mergeCell ref="D87:F87"/>
    <mergeCell ref="D76:E76"/>
    <mergeCell ref="D77:F77"/>
    <mergeCell ref="D78:E78"/>
    <mergeCell ref="D79:F79"/>
    <mergeCell ref="D80:F80"/>
    <mergeCell ref="D81:E81"/>
    <mergeCell ref="D70:E70"/>
    <mergeCell ref="D71:F71"/>
    <mergeCell ref="D72:F72"/>
    <mergeCell ref="D73:E73"/>
    <mergeCell ref="D74:E74"/>
    <mergeCell ref="D75:F75"/>
    <mergeCell ref="D64:E64"/>
    <mergeCell ref="D65:F65"/>
    <mergeCell ref="D66:E66"/>
    <mergeCell ref="D67:E67"/>
    <mergeCell ref="D68:F68"/>
    <mergeCell ref="D69:F69"/>
    <mergeCell ref="D58:E58"/>
    <mergeCell ref="D59:F59"/>
    <mergeCell ref="D60:F60"/>
    <mergeCell ref="D61:E61"/>
    <mergeCell ref="D62:F62"/>
    <mergeCell ref="D63:E63"/>
    <mergeCell ref="D52:F52"/>
    <mergeCell ref="D53:F53"/>
    <mergeCell ref="D54:E54"/>
    <mergeCell ref="D55:F55"/>
    <mergeCell ref="D56:E56"/>
    <mergeCell ref="D57:F57"/>
    <mergeCell ref="D46:E46"/>
    <mergeCell ref="D47:F47"/>
    <mergeCell ref="D48:E48"/>
    <mergeCell ref="D49:E49"/>
    <mergeCell ref="D50:F50"/>
    <mergeCell ref="D51:E51"/>
    <mergeCell ref="D40:E40"/>
    <mergeCell ref="D41:F41"/>
    <mergeCell ref="D42:E42"/>
    <mergeCell ref="D43:F43"/>
    <mergeCell ref="D44:E44"/>
    <mergeCell ref="D45:F45"/>
    <mergeCell ref="D34:F34"/>
    <mergeCell ref="D35:E35"/>
    <mergeCell ref="D36:F36"/>
    <mergeCell ref="D37:E37"/>
    <mergeCell ref="D38:E38"/>
    <mergeCell ref="D39:F39"/>
    <mergeCell ref="D28:E28"/>
    <mergeCell ref="D29:F29"/>
    <mergeCell ref="D30:E30"/>
    <mergeCell ref="D31:F31"/>
    <mergeCell ref="D32:E32"/>
    <mergeCell ref="D33:E33"/>
    <mergeCell ref="D22:F22"/>
    <mergeCell ref="D23:F23"/>
    <mergeCell ref="D24:E24"/>
    <mergeCell ref="D25:F25"/>
    <mergeCell ref="D26:E26"/>
    <mergeCell ref="D27:F27"/>
    <mergeCell ref="D16:F16"/>
    <mergeCell ref="D17:F17"/>
    <mergeCell ref="D18:E18"/>
    <mergeCell ref="D19:F19"/>
    <mergeCell ref="D20:E20"/>
    <mergeCell ref="D21:E21"/>
    <mergeCell ref="D10:E10"/>
    <mergeCell ref="D11:E11"/>
    <mergeCell ref="D12:E12"/>
    <mergeCell ref="D13:F13"/>
    <mergeCell ref="D14:F14"/>
    <mergeCell ref="D15:E15"/>
    <mergeCell ref="A6:B7"/>
    <mergeCell ref="C6:D7"/>
    <mergeCell ref="E6:E7"/>
    <mergeCell ref="F6:H7"/>
    <mergeCell ref="A8:B9"/>
    <mergeCell ref="C8:D9"/>
    <mergeCell ref="E8:E9"/>
    <mergeCell ref="F8:H9"/>
    <mergeCell ref="A1:H1"/>
    <mergeCell ref="A2:B3"/>
    <mergeCell ref="C2:D3"/>
    <mergeCell ref="E2:E3"/>
    <mergeCell ref="F2:H3"/>
    <mergeCell ref="A4:B5"/>
    <mergeCell ref="C4:D5"/>
    <mergeCell ref="E4:E5"/>
    <mergeCell ref="F4:H5"/>
  </mergeCells>
  <pageMargins left="0.39400000000000002" right="0.39400000000000002" top="0.59099999999999997" bottom="0.59099999999999997" header="0.5" footer="0.5"/>
  <pageSetup paperSize="0" fitToHeight="0" orientation="portrait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Krycí list rozpočtu</vt:lpstr>
      <vt:lpstr>Stavební rozpočet - součet</vt:lpstr>
      <vt:lpstr>Stavební rozpočet</vt:lpstr>
      <vt:lpstr>Výkaz výměr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Hefner</dc:creator>
  <cp:lastModifiedBy>Hefner</cp:lastModifiedBy>
  <dcterms:created xsi:type="dcterms:W3CDTF">2020-06-28T15:20:26Z</dcterms:created>
  <dcterms:modified xsi:type="dcterms:W3CDTF">2020-06-28T15:20:40Z</dcterms:modified>
</cp:coreProperties>
</file>