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alsko-my.sharepoint.com/personal/stankova_mestoralsko_cz/Documents/Granty/Granty 2019/Chodník Ploužnice/"/>
    </mc:Choice>
  </mc:AlternateContent>
  <xr:revisionPtr revIDLastSave="0" documentId="8_{FE469076-041D-4CD7-87EB-BB59AFAF2C29}" xr6:coauthVersionLast="45" xr6:coauthVersionMax="45" xr10:uidLastSave="{00000000-0000-0000-0000-000000000000}"/>
  <bookViews>
    <workbookView xWindow="-108" yWindow="-108" windowWidth="23256" windowHeight="12576" activeTab="3" xr2:uid="{00000000-000D-0000-FFFF-FFFF00000000}"/>
  </bookViews>
  <sheets>
    <sheet name="Krycí list rozpočtu" sheetId="4" r:id="rId1"/>
    <sheet name="Stavební rozpočet - součet" sheetId="2" r:id="rId2"/>
    <sheet name="Stavební rozpočet" sheetId="1" r:id="rId3"/>
    <sheet name="Výkaz výměr" sheetId="5" r:id="rId4"/>
  </sheets>
  <externalReferences>
    <externalReference r:id="rId5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5" l="1"/>
  <c r="F2" i="5"/>
  <c r="C4" i="5"/>
  <c r="F4" i="5"/>
  <c r="C6" i="5"/>
  <c r="C8" i="5"/>
  <c r="C2" i="4" l="1"/>
  <c r="F2" i="4"/>
  <c r="C4" i="4"/>
  <c r="F4" i="4"/>
  <c r="C6" i="4"/>
  <c r="F6" i="4"/>
  <c r="C10" i="4"/>
  <c r="F10" i="4"/>
  <c r="F22" i="4"/>
  <c r="I22" i="4"/>
  <c r="K13" i="1"/>
  <c r="Z13" i="1"/>
  <c r="AD13" i="1"/>
  <c r="AE13" i="1"/>
  <c r="AF13" i="1"/>
  <c r="AG13" i="1"/>
  <c r="AH13" i="1"/>
  <c r="AJ13" i="1"/>
  <c r="AK13" i="1"/>
  <c r="AL13" i="1"/>
  <c r="AO13" i="1"/>
  <c r="I13" i="1" s="1"/>
  <c r="AP13" i="1"/>
  <c r="J13" i="1" s="1"/>
  <c r="AW13" i="1"/>
  <c r="BD13" i="1"/>
  <c r="BF13" i="1"/>
  <c r="BJ13" i="1"/>
  <c r="I14" i="1"/>
  <c r="K14" i="1"/>
  <c r="AL14" i="1" s="1"/>
  <c r="Z14" i="1"/>
  <c r="AD14" i="1"/>
  <c r="AE14" i="1"/>
  <c r="AF14" i="1"/>
  <c r="AG14" i="1"/>
  <c r="AH14" i="1"/>
  <c r="AJ14" i="1"/>
  <c r="AK14" i="1"/>
  <c r="AO14" i="1"/>
  <c r="AP14" i="1"/>
  <c r="AW14" i="1"/>
  <c r="BD14" i="1"/>
  <c r="BF14" i="1"/>
  <c r="BH14" i="1"/>
  <c r="AB14" i="1" s="1"/>
  <c r="BJ14" i="1"/>
  <c r="K15" i="1"/>
  <c r="AL15" i="1" s="1"/>
  <c r="Z15" i="1"/>
  <c r="AD15" i="1"/>
  <c r="AE15" i="1"/>
  <c r="AF15" i="1"/>
  <c r="AG15" i="1"/>
  <c r="AH15" i="1"/>
  <c r="AJ15" i="1"/>
  <c r="AK15" i="1"/>
  <c r="AO15" i="1"/>
  <c r="AP15" i="1"/>
  <c r="J15" i="1" s="1"/>
  <c r="AX15" i="1"/>
  <c r="BD15" i="1"/>
  <c r="BF15" i="1"/>
  <c r="BH15" i="1"/>
  <c r="AB15" i="1" s="1"/>
  <c r="BJ15" i="1"/>
  <c r="J16" i="1"/>
  <c r="K16" i="1"/>
  <c r="AL16" i="1" s="1"/>
  <c r="Z16" i="1"/>
  <c r="AD16" i="1"/>
  <c r="AE16" i="1"/>
  <c r="AF16" i="1"/>
  <c r="AG16" i="1"/>
  <c r="AH16" i="1"/>
  <c r="AJ16" i="1"/>
  <c r="AK16" i="1"/>
  <c r="AO16" i="1"/>
  <c r="I16" i="1" s="1"/>
  <c r="AP16" i="1"/>
  <c r="AX16" i="1"/>
  <c r="BD16" i="1"/>
  <c r="BF16" i="1"/>
  <c r="BI16" i="1"/>
  <c r="AC16" i="1" s="1"/>
  <c r="BJ16" i="1"/>
  <c r="K18" i="1"/>
  <c r="Z18" i="1"/>
  <c r="AD18" i="1"/>
  <c r="AE18" i="1"/>
  <c r="AF18" i="1"/>
  <c r="AG18" i="1"/>
  <c r="AH18" i="1"/>
  <c r="AJ18" i="1"/>
  <c r="AS17" i="1" s="1"/>
  <c r="AK18" i="1"/>
  <c r="AO18" i="1"/>
  <c r="AP18" i="1"/>
  <c r="J18" i="1" s="1"/>
  <c r="J17" i="1" s="1"/>
  <c r="F12" i="2" s="1"/>
  <c r="AX18" i="1"/>
  <c r="BD18" i="1"/>
  <c r="BF18" i="1"/>
  <c r="BH18" i="1"/>
  <c r="AB18" i="1" s="1"/>
  <c r="BI18" i="1"/>
  <c r="AC18" i="1" s="1"/>
  <c r="BJ18" i="1"/>
  <c r="J19" i="1"/>
  <c r="K19" i="1"/>
  <c r="AL19" i="1" s="1"/>
  <c r="Z19" i="1"/>
  <c r="AD19" i="1"/>
  <c r="AE19" i="1"/>
  <c r="AF19" i="1"/>
  <c r="AG19" i="1"/>
  <c r="AH19" i="1"/>
  <c r="AJ19" i="1"/>
  <c r="AK19" i="1"/>
  <c r="AT17" i="1" s="1"/>
  <c r="AO19" i="1"/>
  <c r="I19" i="1" s="1"/>
  <c r="AP19" i="1"/>
  <c r="AW19" i="1"/>
  <c r="AX19" i="1"/>
  <c r="BD19" i="1"/>
  <c r="BF19" i="1"/>
  <c r="BH19" i="1"/>
  <c r="AB19" i="1" s="1"/>
  <c r="BI19" i="1"/>
  <c r="AC19" i="1" s="1"/>
  <c r="BJ19" i="1"/>
  <c r="K21" i="1"/>
  <c r="Z21" i="1"/>
  <c r="AD21" i="1"/>
  <c r="AE21" i="1"/>
  <c r="AF21" i="1"/>
  <c r="AG21" i="1"/>
  <c r="AH21" i="1"/>
  <c r="AJ21" i="1"/>
  <c r="AS20" i="1" s="1"/>
  <c r="AK21" i="1"/>
  <c r="AT20" i="1" s="1"/>
  <c r="AO21" i="1"/>
  <c r="AP21" i="1"/>
  <c r="J21" i="1" s="1"/>
  <c r="J20" i="1" s="1"/>
  <c r="F13" i="2" s="1"/>
  <c r="AX21" i="1"/>
  <c r="BD21" i="1"/>
  <c r="BF21" i="1"/>
  <c r="BI21" i="1"/>
  <c r="AC21" i="1" s="1"/>
  <c r="BJ21" i="1"/>
  <c r="J22" i="1"/>
  <c r="K22" i="1"/>
  <c r="Z22" i="1"/>
  <c r="AD22" i="1"/>
  <c r="AE22" i="1"/>
  <c r="AF22" i="1"/>
  <c r="AG22" i="1"/>
  <c r="AH22" i="1"/>
  <c r="AJ22" i="1"/>
  <c r="AK22" i="1"/>
  <c r="AL22" i="1"/>
  <c r="AO22" i="1"/>
  <c r="I22" i="1" s="1"/>
  <c r="AP22" i="1"/>
  <c r="AW22" i="1"/>
  <c r="AX22" i="1"/>
  <c r="BD22" i="1"/>
  <c r="BF22" i="1"/>
  <c r="BH22" i="1"/>
  <c r="AB22" i="1" s="1"/>
  <c r="BI22" i="1"/>
  <c r="AC22" i="1" s="1"/>
  <c r="BJ22" i="1"/>
  <c r="K24" i="1"/>
  <c r="Z24" i="1"/>
  <c r="AD24" i="1"/>
  <c r="AE24" i="1"/>
  <c r="AF24" i="1"/>
  <c r="AG24" i="1"/>
  <c r="AH24" i="1"/>
  <c r="AJ24" i="1"/>
  <c r="AK24" i="1"/>
  <c r="AT23" i="1" s="1"/>
  <c r="AO24" i="1"/>
  <c r="AP24" i="1"/>
  <c r="J24" i="1" s="1"/>
  <c r="BD24" i="1"/>
  <c r="BF24" i="1"/>
  <c r="BJ24" i="1"/>
  <c r="J25" i="1"/>
  <c r="K25" i="1"/>
  <c r="Z25" i="1"/>
  <c r="AC25" i="1"/>
  <c r="AD25" i="1"/>
  <c r="AE25" i="1"/>
  <c r="AF25" i="1"/>
  <c r="AG25" i="1"/>
  <c r="AH25" i="1"/>
  <c r="AJ25" i="1"/>
  <c r="AK25" i="1"/>
  <c r="AL25" i="1"/>
  <c r="AO25" i="1"/>
  <c r="I25" i="1" s="1"/>
  <c r="AP25" i="1"/>
  <c r="AX25" i="1"/>
  <c r="BD25" i="1"/>
  <c r="BF25" i="1"/>
  <c r="BI25" i="1"/>
  <c r="BJ25" i="1"/>
  <c r="K27" i="1"/>
  <c r="Z27" i="1"/>
  <c r="AD27" i="1"/>
  <c r="AE27" i="1"/>
  <c r="AF27" i="1"/>
  <c r="AG27" i="1"/>
  <c r="AH27" i="1"/>
  <c r="AJ27" i="1"/>
  <c r="AS26" i="1" s="1"/>
  <c r="AK27" i="1"/>
  <c r="AT26" i="1" s="1"/>
  <c r="AO27" i="1"/>
  <c r="AP27" i="1"/>
  <c r="J27" i="1" s="1"/>
  <c r="J26" i="1" s="1"/>
  <c r="F15" i="2" s="1"/>
  <c r="AX27" i="1"/>
  <c r="BD27" i="1"/>
  <c r="BF27" i="1"/>
  <c r="BH27" i="1"/>
  <c r="AB27" i="1" s="1"/>
  <c r="BJ27" i="1"/>
  <c r="K28" i="1"/>
  <c r="G16" i="2" s="1"/>
  <c r="I16" i="2" s="1"/>
  <c r="I29" i="1"/>
  <c r="I28" i="1" s="1"/>
  <c r="K29" i="1"/>
  <c r="AL29" i="1" s="1"/>
  <c r="AU28" i="1" s="1"/>
  <c r="Z29" i="1"/>
  <c r="AD29" i="1"/>
  <c r="AE29" i="1"/>
  <c r="AF29" i="1"/>
  <c r="AG29" i="1"/>
  <c r="AH29" i="1"/>
  <c r="AJ29" i="1"/>
  <c r="AS28" i="1" s="1"/>
  <c r="AK29" i="1"/>
  <c r="AT28" i="1" s="1"/>
  <c r="AO29" i="1"/>
  <c r="AP29" i="1"/>
  <c r="AW29" i="1"/>
  <c r="BD29" i="1"/>
  <c r="BF29" i="1"/>
  <c r="BH29" i="1"/>
  <c r="AB29" i="1" s="1"/>
  <c r="BJ29" i="1"/>
  <c r="I31" i="1"/>
  <c r="I30" i="1" s="1"/>
  <c r="J31" i="1"/>
  <c r="J30" i="1" s="1"/>
  <c r="K31" i="1"/>
  <c r="K30" i="1" s="1"/>
  <c r="G17" i="2" s="1"/>
  <c r="I17" i="2" s="1"/>
  <c r="Z31" i="1"/>
  <c r="AD31" i="1"/>
  <c r="AE31" i="1"/>
  <c r="AF31" i="1"/>
  <c r="AG31" i="1"/>
  <c r="AH31" i="1"/>
  <c r="AJ31" i="1"/>
  <c r="AS30" i="1" s="1"/>
  <c r="AK31" i="1"/>
  <c r="AT30" i="1" s="1"/>
  <c r="AL31" i="1"/>
  <c r="AU30" i="1" s="1"/>
  <c r="AO31" i="1"/>
  <c r="AP31" i="1"/>
  <c r="AW31" i="1"/>
  <c r="AX31" i="1"/>
  <c r="BD31" i="1"/>
  <c r="BF31" i="1"/>
  <c r="BH31" i="1"/>
  <c r="AB31" i="1" s="1"/>
  <c r="BI31" i="1"/>
  <c r="AC31" i="1" s="1"/>
  <c r="BJ31" i="1"/>
  <c r="AT32" i="1"/>
  <c r="J33" i="1"/>
  <c r="K33" i="1"/>
  <c r="Z33" i="1"/>
  <c r="AD33" i="1"/>
  <c r="AE33" i="1"/>
  <c r="AF33" i="1"/>
  <c r="AG33" i="1"/>
  <c r="AH33" i="1"/>
  <c r="AJ33" i="1"/>
  <c r="AK33" i="1"/>
  <c r="AL33" i="1"/>
  <c r="AO33" i="1"/>
  <c r="I33" i="1" s="1"/>
  <c r="AP33" i="1"/>
  <c r="AW33" i="1"/>
  <c r="AX33" i="1"/>
  <c r="BD33" i="1"/>
  <c r="BF33" i="1"/>
  <c r="BH33" i="1"/>
  <c r="AB33" i="1" s="1"/>
  <c r="BI33" i="1"/>
  <c r="AC33" i="1" s="1"/>
  <c r="BJ33" i="1"/>
  <c r="I34" i="1"/>
  <c r="J34" i="1"/>
  <c r="K34" i="1"/>
  <c r="AL34" i="1" s="1"/>
  <c r="Z34" i="1"/>
  <c r="AD34" i="1"/>
  <c r="AE34" i="1"/>
  <c r="AF34" i="1"/>
  <c r="AG34" i="1"/>
  <c r="AH34" i="1"/>
  <c r="AJ34" i="1"/>
  <c r="AS32" i="1" s="1"/>
  <c r="AK34" i="1"/>
  <c r="AO34" i="1"/>
  <c r="AP34" i="1"/>
  <c r="AW34" i="1"/>
  <c r="AX34" i="1"/>
  <c r="BD34" i="1"/>
  <c r="BF34" i="1"/>
  <c r="BH34" i="1"/>
  <c r="AB34" i="1" s="1"/>
  <c r="BI34" i="1"/>
  <c r="AC34" i="1" s="1"/>
  <c r="BJ34" i="1"/>
  <c r="J36" i="1"/>
  <c r="K36" i="1"/>
  <c r="Z36" i="1"/>
  <c r="AD36" i="1"/>
  <c r="AE36" i="1"/>
  <c r="AF36" i="1"/>
  <c r="AG36" i="1"/>
  <c r="AH36" i="1"/>
  <c r="AJ36" i="1"/>
  <c r="AK36" i="1"/>
  <c r="AL36" i="1"/>
  <c r="AO36" i="1"/>
  <c r="I36" i="1" s="1"/>
  <c r="AP36" i="1"/>
  <c r="AW36" i="1"/>
  <c r="AX36" i="1"/>
  <c r="BD36" i="1"/>
  <c r="BF36" i="1"/>
  <c r="BH36" i="1"/>
  <c r="AB36" i="1" s="1"/>
  <c r="BI36" i="1"/>
  <c r="AC36" i="1" s="1"/>
  <c r="BJ36" i="1"/>
  <c r="I37" i="1"/>
  <c r="J37" i="1"/>
  <c r="K37" i="1"/>
  <c r="AL37" i="1" s="1"/>
  <c r="Z37" i="1"/>
  <c r="AD37" i="1"/>
  <c r="AE37" i="1"/>
  <c r="AF37" i="1"/>
  <c r="AG37" i="1"/>
  <c r="AH37" i="1"/>
  <c r="AJ37" i="1"/>
  <c r="AK37" i="1"/>
  <c r="AO37" i="1"/>
  <c r="AP37" i="1"/>
  <c r="AW37" i="1"/>
  <c r="AX37" i="1"/>
  <c r="BD37" i="1"/>
  <c r="BF37" i="1"/>
  <c r="BH37" i="1"/>
  <c r="AB37" i="1" s="1"/>
  <c r="BI37" i="1"/>
  <c r="AC37" i="1" s="1"/>
  <c r="BJ37" i="1"/>
  <c r="I38" i="1"/>
  <c r="K38" i="1"/>
  <c r="Z38" i="1"/>
  <c r="AB38" i="1"/>
  <c r="AD38" i="1"/>
  <c r="AE38" i="1"/>
  <c r="AF38" i="1"/>
  <c r="AG38" i="1"/>
  <c r="AH38" i="1"/>
  <c r="AJ38" i="1"/>
  <c r="AK38" i="1"/>
  <c r="AL38" i="1"/>
  <c r="AO38" i="1"/>
  <c r="AP38" i="1"/>
  <c r="AW38" i="1"/>
  <c r="BD38" i="1"/>
  <c r="BF38" i="1"/>
  <c r="BH38" i="1"/>
  <c r="BJ38" i="1"/>
  <c r="K39" i="1"/>
  <c r="AL39" i="1" s="1"/>
  <c r="Z39" i="1"/>
  <c r="AD39" i="1"/>
  <c r="AE39" i="1"/>
  <c r="AF39" i="1"/>
  <c r="AG39" i="1"/>
  <c r="AH39" i="1"/>
  <c r="AJ39" i="1"/>
  <c r="AK39" i="1"/>
  <c r="AO39" i="1"/>
  <c r="AP39" i="1"/>
  <c r="J39" i="1" s="1"/>
  <c r="AX39" i="1"/>
  <c r="BD39" i="1"/>
  <c r="BF39" i="1"/>
  <c r="BH39" i="1"/>
  <c r="AB39" i="1" s="1"/>
  <c r="BI39" i="1"/>
  <c r="AC39" i="1" s="1"/>
  <c r="BJ39" i="1"/>
  <c r="J40" i="1"/>
  <c r="K40" i="1"/>
  <c r="AL40" i="1" s="1"/>
  <c r="Z40" i="1"/>
  <c r="AC40" i="1"/>
  <c r="AD40" i="1"/>
  <c r="AE40" i="1"/>
  <c r="AF40" i="1"/>
  <c r="AG40" i="1"/>
  <c r="AH40" i="1"/>
  <c r="AJ40" i="1"/>
  <c r="AK40" i="1"/>
  <c r="AO40" i="1"/>
  <c r="I40" i="1" s="1"/>
  <c r="AP40" i="1"/>
  <c r="AW40" i="1"/>
  <c r="AX40" i="1"/>
  <c r="BD40" i="1"/>
  <c r="BF40" i="1"/>
  <c r="BH40" i="1"/>
  <c r="AB40" i="1" s="1"/>
  <c r="BI40" i="1"/>
  <c r="BJ40" i="1"/>
  <c r="I41" i="1"/>
  <c r="J41" i="1"/>
  <c r="K41" i="1"/>
  <c r="AL41" i="1" s="1"/>
  <c r="Z41" i="1"/>
  <c r="AD41" i="1"/>
  <c r="AE41" i="1"/>
  <c r="AF41" i="1"/>
  <c r="AG41" i="1"/>
  <c r="AH41" i="1"/>
  <c r="AJ41" i="1"/>
  <c r="AK41" i="1"/>
  <c r="AO41" i="1"/>
  <c r="AP41" i="1"/>
  <c r="AW41" i="1"/>
  <c r="BC41" i="1" s="1"/>
  <c r="AX41" i="1"/>
  <c r="BD41" i="1"/>
  <c r="BF41" i="1"/>
  <c r="BH41" i="1"/>
  <c r="AB41" i="1" s="1"/>
  <c r="BI41" i="1"/>
  <c r="AC41" i="1" s="1"/>
  <c r="BJ41" i="1"/>
  <c r="I42" i="1"/>
  <c r="K42" i="1"/>
  <c r="AL42" i="1" s="1"/>
  <c r="Z42" i="1"/>
  <c r="AD42" i="1"/>
  <c r="AE42" i="1"/>
  <c r="AF42" i="1"/>
  <c r="AG42" i="1"/>
  <c r="AH42" i="1"/>
  <c r="AJ42" i="1"/>
  <c r="AK42" i="1"/>
  <c r="AO42" i="1"/>
  <c r="AP42" i="1"/>
  <c r="AW42" i="1"/>
  <c r="BD42" i="1"/>
  <c r="BF42" i="1"/>
  <c r="BH42" i="1"/>
  <c r="AB42" i="1" s="1"/>
  <c r="BJ42" i="1"/>
  <c r="K43" i="1"/>
  <c r="AL43" i="1" s="1"/>
  <c r="Z43" i="1"/>
  <c r="AD43" i="1"/>
  <c r="AE43" i="1"/>
  <c r="AF43" i="1"/>
  <c r="AG43" i="1"/>
  <c r="AH43" i="1"/>
  <c r="AJ43" i="1"/>
  <c r="AK43" i="1"/>
  <c r="AO43" i="1"/>
  <c r="AP43" i="1"/>
  <c r="J43" i="1" s="1"/>
  <c r="AX43" i="1"/>
  <c r="BD43" i="1"/>
  <c r="BF43" i="1"/>
  <c r="BH43" i="1"/>
  <c r="AB43" i="1" s="1"/>
  <c r="BJ43" i="1"/>
  <c r="J44" i="1"/>
  <c r="K44" i="1"/>
  <c r="AL44" i="1" s="1"/>
  <c r="Z44" i="1"/>
  <c r="AD44" i="1"/>
  <c r="AE44" i="1"/>
  <c r="AF44" i="1"/>
  <c r="AG44" i="1"/>
  <c r="AH44" i="1"/>
  <c r="AJ44" i="1"/>
  <c r="AK44" i="1"/>
  <c r="AO44" i="1"/>
  <c r="I44" i="1" s="1"/>
  <c r="AP44" i="1"/>
  <c r="AX44" i="1"/>
  <c r="BD44" i="1"/>
  <c r="BF44" i="1"/>
  <c r="BI44" i="1"/>
  <c r="AC44" i="1" s="1"/>
  <c r="BJ44" i="1"/>
  <c r="AT45" i="1"/>
  <c r="K46" i="1"/>
  <c r="Z46" i="1"/>
  <c r="AD46" i="1"/>
  <c r="AE46" i="1"/>
  <c r="AF46" i="1"/>
  <c r="AG46" i="1"/>
  <c r="AH46" i="1"/>
  <c r="AJ46" i="1"/>
  <c r="AS45" i="1" s="1"/>
  <c r="AK46" i="1"/>
  <c r="AO46" i="1"/>
  <c r="AP46" i="1"/>
  <c r="J46" i="1" s="1"/>
  <c r="J45" i="1" s="1"/>
  <c r="F20" i="2" s="1"/>
  <c r="AX46" i="1"/>
  <c r="BD46" i="1"/>
  <c r="BF46" i="1"/>
  <c r="BH46" i="1"/>
  <c r="AB46" i="1" s="1"/>
  <c r="BI46" i="1"/>
  <c r="AC46" i="1" s="1"/>
  <c r="BJ46" i="1"/>
  <c r="K47" i="1"/>
  <c r="G21" i="2" s="1"/>
  <c r="I21" i="2" s="1"/>
  <c r="I48" i="1"/>
  <c r="I47" i="1" s="1"/>
  <c r="E21" i="2" s="1"/>
  <c r="K48" i="1"/>
  <c r="AB48" i="1"/>
  <c r="AC48" i="1"/>
  <c r="AD48" i="1"/>
  <c r="AE48" i="1"/>
  <c r="AF48" i="1"/>
  <c r="AG48" i="1"/>
  <c r="AH48" i="1"/>
  <c r="AJ48" i="1"/>
  <c r="AS47" i="1" s="1"/>
  <c r="AK48" i="1"/>
  <c r="AT47" i="1" s="1"/>
  <c r="AL48" i="1"/>
  <c r="AU47" i="1" s="1"/>
  <c r="AO48" i="1"/>
  <c r="AP48" i="1"/>
  <c r="BI48" i="1" s="1"/>
  <c r="AW48" i="1"/>
  <c r="BD48" i="1"/>
  <c r="BF48" i="1"/>
  <c r="BH48" i="1"/>
  <c r="BJ48" i="1"/>
  <c r="Z48" i="1" s="1"/>
  <c r="I50" i="1"/>
  <c r="J50" i="1"/>
  <c r="K50" i="1"/>
  <c r="AB50" i="1"/>
  <c r="AC50" i="1"/>
  <c r="AD50" i="1"/>
  <c r="AE50" i="1"/>
  <c r="AF50" i="1"/>
  <c r="AG50" i="1"/>
  <c r="AH50" i="1"/>
  <c r="AJ50" i="1"/>
  <c r="AK50" i="1"/>
  <c r="AL50" i="1"/>
  <c r="AO50" i="1"/>
  <c r="AP50" i="1"/>
  <c r="AW50" i="1"/>
  <c r="AX50" i="1"/>
  <c r="BD50" i="1"/>
  <c r="BF50" i="1"/>
  <c r="BH50" i="1"/>
  <c r="BI50" i="1"/>
  <c r="BJ50" i="1"/>
  <c r="Z50" i="1" s="1"/>
  <c r="I51" i="1"/>
  <c r="K51" i="1"/>
  <c r="AL51" i="1" s="1"/>
  <c r="AB51" i="1"/>
  <c r="AC51" i="1"/>
  <c r="AD51" i="1"/>
  <c r="AE51" i="1"/>
  <c r="AF51" i="1"/>
  <c r="AG51" i="1"/>
  <c r="AH51" i="1"/>
  <c r="AJ51" i="1"/>
  <c r="AS49" i="1" s="1"/>
  <c r="AK51" i="1"/>
  <c r="AO51" i="1"/>
  <c r="AP51" i="1"/>
  <c r="BI51" i="1" s="1"/>
  <c r="AW51" i="1"/>
  <c r="BD51" i="1"/>
  <c r="BF51" i="1"/>
  <c r="BH51" i="1"/>
  <c r="BJ51" i="1"/>
  <c r="Z51" i="1" s="1"/>
  <c r="I52" i="1"/>
  <c r="K52" i="1"/>
  <c r="AB52" i="1"/>
  <c r="AC52" i="1"/>
  <c r="AD52" i="1"/>
  <c r="AE52" i="1"/>
  <c r="AF52" i="1"/>
  <c r="AG52" i="1"/>
  <c r="AH52" i="1"/>
  <c r="AJ52" i="1"/>
  <c r="AK52" i="1"/>
  <c r="AL52" i="1"/>
  <c r="AO52" i="1"/>
  <c r="AP52" i="1"/>
  <c r="J52" i="1" s="1"/>
  <c r="AW52" i="1"/>
  <c r="BD52" i="1"/>
  <c r="BF52" i="1"/>
  <c r="BH52" i="1"/>
  <c r="BI52" i="1"/>
  <c r="BJ52" i="1"/>
  <c r="Z52" i="1" s="1"/>
  <c r="K54" i="1"/>
  <c r="Z54" i="1"/>
  <c r="AD54" i="1"/>
  <c r="AE54" i="1"/>
  <c r="AF54" i="1"/>
  <c r="AG54" i="1"/>
  <c r="AH54" i="1"/>
  <c r="AJ54" i="1"/>
  <c r="AK54" i="1"/>
  <c r="AL54" i="1"/>
  <c r="AO54" i="1"/>
  <c r="I54" i="1" s="1"/>
  <c r="AP54" i="1"/>
  <c r="J54" i="1" s="1"/>
  <c r="BD54" i="1"/>
  <c r="BF54" i="1"/>
  <c r="BH54" i="1"/>
  <c r="AB54" i="1" s="1"/>
  <c r="BJ54" i="1"/>
  <c r="I55" i="1"/>
  <c r="J55" i="1"/>
  <c r="K55" i="1"/>
  <c r="AL55" i="1" s="1"/>
  <c r="Z55" i="1"/>
  <c r="AC55" i="1"/>
  <c r="AD55" i="1"/>
  <c r="AE55" i="1"/>
  <c r="AF55" i="1"/>
  <c r="AG55" i="1"/>
  <c r="AH55" i="1"/>
  <c r="AJ55" i="1"/>
  <c r="AK55" i="1"/>
  <c r="AO55" i="1"/>
  <c r="AP55" i="1"/>
  <c r="AX55" i="1" s="1"/>
  <c r="AW55" i="1"/>
  <c r="BD55" i="1"/>
  <c r="BF55" i="1"/>
  <c r="BH55" i="1"/>
  <c r="AB55" i="1" s="1"/>
  <c r="BI55" i="1"/>
  <c r="BJ55" i="1"/>
  <c r="I56" i="1"/>
  <c r="K56" i="1"/>
  <c r="AL56" i="1" s="1"/>
  <c r="Z56" i="1"/>
  <c r="AD56" i="1"/>
  <c r="AE56" i="1"/>
  <c r="AF56" i="1"/>
  <c r="AG56" i="1"/>
  <c r="AH56" i="1"/>
  <c r="AJ56" i="1"/>
  <c r="AK56" i="1"/>
  <c r="AO56" i="1"/>
  <c r="AP56" i="1"/>
  <c r="J56" i="1" s="1"/>
  <c r="AW56" i="1"/>
  <c r="BD56" i="1"/>
  <c r="BF56" i="1"/>
  <c r="BH56" i="1"/>
  <c r="AB56" i="1" s="1"/>
  <c r="BI56" i="1"/>
  <c r="AC56" i="1" s="1"/>
  <c r="BJ56" i="1"/>
  <c r="B2" i="2"/>
  <c r="E2" i="2"/>
  <c r="B4" i="2"/>
  <c r="E4" i="2"/>
  <c r="B6" i="2"/>
  <c r="E6" i="2"/>
  <c r="B8" i="2"/>
  <c r="E16" i="2"/>
  <c r="E17" i="2"/>
  <c r="F17" i="2"/>
  <c r="AS53" i="1" l="1"/>
  <c r="BC50" i="1"/>
  <c r="K49" i="1"/>
  <c r="G22" i="2" s="1"/>
  <c r="I22" i="2" s="1"/>
  <c r="J23" i="1"/>
  <c r="F14" i="2" s="1"/>
  <c r="BC31" i="1"/>
  <c r="AT35" i="1"/>
  <c r="AU32" i="1"/>
  <c r="AS35" i="1"/>
  <c r="BC37" i="1"/>
  <c r="BC34" i="1"/>
  <c r="I32" i="1"/>
  <c r="E18" i="2" s="1"/>
  <c r="K32" i="1"/>
  <c r="G18" i="2" s="1"/>
  <c r="I18" i="2" s="1"/>
  <c r="AS23" i="1"/>
  <c r="BC55" i="1"/>
  <c r="J14" i="1"/>
  <c r="AX14" i="1"/>
  <c r="BC36" i="1"/>
  <c r="AV36" i="1"/>
  <c r="BC33" i="1"/>
  <c r="AV33" i="1"/>
  <c r="J29" i="1"/>
  <c r="J28" i="1" s="1"/>
  <c r="F16" i="2" s="1"/>
  <c r="AX29" i="1"/>
  <c r="I24" i="1"/>
  <c r="I23" i="1" s="1"/>
  <c r="E14" i="2" s="1"/>
  <c r="AW24" i="1"/>
  <c r="BC22" i="1"/>
  <c r="AV22" i="1"/>
  <c r="K20" i="1"/>
  <c r="G13" i="2" s="1"/>
  <c r="I13" i="2" s="1"/>
  <c r="AL21" i="1"/>
  <c r="AU20" i="1" s="1"/>
  <c r="BI14" i="1"/>
  <c r="AC14" i="1" s="1"/>
  <c r="K12" i="1"/>
  <c r="J53" i="1"/>
  <c r="F23" i="2" s="1"/>
  <c r="BC40" i="1"/>
  <c r="AV40" i="1"/>
  <c r="AU35" i="1"/>
  <c r="I21" i="1"/>
  <c r="I20" i="1" s="1"/>
  <c r="E13" i="2" s="1"/>
  <c r="AW21" i="1"/>
  <c r="K17" i="1"/>
  <c r="G12" i="2" s="1"/>
  <c r="I12" i="2" s="1"/>
  <c r="AL18" i="1"/>
  <c r="AU17" i="1" s="1"/>
  <c r="AV55" i="1"/>
  <c r="J38" i="1"/>
  <c r="AX38" i="1"/>
  <c r="AX56" i="1"/>
  <c r="AU53" i="1"/>
  <c r="AX52" i="1"/>
  <c r="AU49" i="1"/>
  <c r="I49" i="1"/>
  <c r="E22" i="2" s="1"/>
  <c r="I43" i="1"/>
  <c r="AW43" i="1"/>
  <c r="BI38" i="1"/>
  <c r="AC38" i="1" s="1"/>
  <c r="AV37" i="1"/>
  <c r="K35" i="1"/>
  <c r="G19" i="2" s="1"/>
  <c r="I19" i="2" s="1"/>
  <c r="AV34" i="1"/>
  <c r="AV31" i="1"/>
  <c r="BI29" i="1"/>
  <c r="AC29" i="1" s="1"/>
  <c r="I27" i="1"/>
  <c r="I26" i="1" s="1"/>
  <c r="E15" i="2" s="1"/>
  <c r="AW27" i="1"/>
  <c r="BH25" i="1"/>
  <c r="AB25" i="1" s="1"/>
  <c r="AW25" i="1"/>
  <c r="BI24" i="1"/>
  <c r="AC24" i="1" s="1"/>
  <c r="K23" i="1"/>
  <c r="G14" i="2" s="1"/>
  <c r="I14" i="2" s="1"/>
  <c r="AL24" i="1"/>
  <c r="AU23" i="1" s="1"/>
  <c r="BH21" i="1"/>
  <c r="AB21" i="1" s="1"/>
  <c r="I15" i="1"/>
  <c r="AW15" i="1"/>
  <c r="K45" i="1"/>
  <c r="G20" i="2" s="1"/>
  <c r="I20" i="2" s="1"/>
  <c r="AL46" i="1"/>
  <c r="AU45" i="1" s="1"/>
  <c r="J42" i="1"/>
  <c r="AX42" i="1"/>
  <c r="BC19" i="1"/>
  <c r="AV19" i="1"/>
  <c r="I53" i="1"/>
  <c r="E23" i="2" s="1"/>
  <c r="J51" i="1"/>
  <c r="J49" i="1" s="1"/>
  <c r="F22" i="2" s="1"/>
  <c r="AX51" i="1"/>
  <c r="J48" i="1"/>
  <c r="J47" i="1" s="1"/>
  <c r="F21" i="2" s="1"/>
  <c r="AX48" i="1"/>
  <c r="BI42" i="1"/>
  <c r="AC42" i="1" s="1"/>
  <c r="AV41" i="1"/>
  <c r="BI54" i="1"/>
  <c r="AC54" i="1" s="1"/>
  <c r="AW54" i="1"/>
  <c r="AT53" i="1"/>
  <c r="K53" i="1"/>
  <c r="G23" i="2" s="1"/>
  <c r="I23" i="2" s="1"/>
  <c r="AV50" i="1"/>
  <c r="AT49" i="1"/>
  <c r="I46" i="1"/>
  <c r="I45" i="1" s="1"/>
  <c r="E20" i="2" s="1"/>
  <c r="AW46" i="1"/>
  <c r="BH44" i="1"/>
  <c r="AB44" i="1" s="1"/>
  <c r="AW44" i="1"/>
  <c r="BI43" i="1"/>
  <c r="AC43" i="1" s="1"/>
  <c r="I39" i="1"/>
  <c r="I35" i="1" s="1"/>
  <c r="E19" i="2" s="1"/>
  <c r="AW39" i="1"/>
  <c r="J35" i="1"/>
  <c r="F19" i="2" s="1"/>
  <c r="J32" i="1"/>
  <c r="F18" i="2" s="1"/>
  <c r="BI27" i="1"/>
  <c r="AC27" i="1" s="1"/>
  <c r="K26" i="1"/>
  <c r="G15" i="2" s="1"/>
  <c r="I15" i="2" s="1"/>
  <c r="AL27" i="1"/>
  <c r="AU26" i="1" s="1"/>
  <c r="BH24" i="1"/>
  <c r="AB24" i="1" s="1"/>
  <c r="AX24" i="1"/>
  <c r="I18" i="1"/>
  <c r="I17" i="1" s="1"/>
  <c r="E12" i="2" s="1"/>
  <c r="AW18" i="1"/>
  <c r="BH16" i="1"/>
  <c r="AB16" i="1" s="1"/>
  <c r="AW16" i="1"/>
  <c r="BI15" i="1"/>
  <c r="AC15" i="1" s="1"/>
  <c r="BH13" i="1"/>
  <c r="AB13" i="1" s="1"/>
  <c r="C14" i="4" s="1"/>
  <c r="J12" i="1"/>
  <c r="F11" i="2" s="1"/>
  <c r="I12" i="1"/>
  <c r="E11" i="2" s="1"/>
  <c r="BI13" i="1"/>
  <c r="AC13" i="1" s="1"/>
  <c r="AX13" i="1"/>
  <c r="BC13" i="1" s="1"/>
  <c r="C20" i="4"/>
  <c r="C16" i="4"/>
  <c r="AX54" i="1"/>
  <c r="AV54" i="1" s="1"/>
  <c r="C19" i="4"/>
  <c r="C15" i="4"/>
  <c r="C28" i="4"/>
  <c r="F28" i="4" s="1"/>
  <c r="C18" i="4"/>
  <c r="C27" i="4"/>
  <c r="C17" i="4"/>
  <c r="C21" i="4"/>
  <c r="G11" i="2"/>
  <c r="I11" i="2" s="1"/>
  <c r="AV13" i="1"/>
  <c r="AT12" i="1"/>
  <c r="AS12" i="1"/>
  <c r="AU12" i="1"/>
  <c r="AV18" i="1" l="1"/>
  <c r="BC18" i="1"/>
  <c r="BC52" i="1"/>
  <c r="AV52" i="1"/>
  <c r="AV21" i="1"/>
  <c r="BC21" i="1"/>
  <c r="AV24" i="1"/>
  <c r="BC24" i="1"/>
  <c r="AV14" i="1"/>
  <c r="BC14" i="1"/>
  <c r="K57" i="1"/>
  <c r="AV39" i="1"/>
  <c r="BC39" i="1"/>
  <c r="BC44" i="1"/>
  <c r="AV44" i="1"/>
  <c r="AV48" i="1"/>
  <c r="BC48" i="1"/>
  <c r="AV42" i="1"/>
  <c r="BC42" i="1"/>
  <c r="AV15" i="1"/>
  <c r="BC15" i="1"/>
  <c r="AV27" i="1"/>
  <c r="BC27" i="1"/>
  <c r="AV43" i="1"/>
  <c r="BC43" i="1"/>
  <c r="G25" i="2"/>
  <c r="BC16" i="1"/>
  <c r="AV16" i="1"/>
  <c r="AV46" i="1"/>
  <c r="BC46" i="1"/>
  <c r="BC25" i="1"/>
  <c r="AV25" i="1"/>
  <c r="BC56" i="1"/>
  <c r="AV56" i="1"/>
  <c r="BC29" i="1"/>
  <c r="AV29" i="1"/>
  <c r="C29" i="4"/>
  <c r="F29" i="4" s="1"/>
  <c r="AV51" i="1"/>
  <c r="BC51" i="1"/>
  <c r="AV38" i="1"/>
  <c r="BC38" i="1"/>
  <c r="C22" i="4"/>
  <c r="BC54" i="1"/>
  <c r="I28" i="4" l="1"/>
  <c r="I29" i="4" s="1"/>
</calcChain>
</file>

<file path=xl/sharedStrings.xml><?xml version="1.0" encoding="utf-8"?>
<sst xmlns="http://schemas.openxmlformats.org/spreadsheetml/2006/main" count="732" uniqueCount="256">
  <si>
    <t>Slepý stavební rozpočet</t>
  </si>
  <si>
    <t>Název stavby:</t>
  </si>
  <si>
    <t>Druh stavby:</t>
  </si>
  <si>
    <t>Lokalita:</t>
  </si>
  <si>
    <t>JKSO:</t>
  </si>
  <si>
    <t>Č</t>
  </si>
  <si>
    <t xml:space="preserve">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</si>
  <si>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</si>
  <si>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</si>
  <si>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</si>
  <si>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</si>
  <si>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</si>
  <si>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</si>
  <si>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</si>
  <si>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</si>
  <si>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</si>
  <si>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</si>
  <si>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</si>
  <si>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</si>
  <si>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</si>
  <si>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</si>
  <si>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</si>
  <si>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</si>
  <si>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</si>
  <si>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</si>
  <si>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</si>
  <si>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</si>
  <si>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</si>
  <si>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</si>
  <si>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</si>
  <si>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</si>
  <si>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</si>
  <si>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</si>
  <si>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</si>
  <si>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</si>
  <si>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</si>
  <si>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</si>
  <si>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</si>
  <si>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</si>
  <si>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Poznámka:</t>
  </si>
  <si>
    <t>Kód</t>
  </si>
  <si>
    <t>113106231R00</t>
  </si>
  <si>
    <t>113108305R00</t>
  </si>
  <si>
    <t>113111115R00</t>
  </si>
  <si>
    <t>113201111R00</t>
  </si>
  <si>
    <t>122202201R00</t>
  </si>
  <si>
    <t>122202209R00</t>
  </si>
  <si>
    <t>132201110R00</t>
  </si>
  <si>
    <t>132201119R00</t>
  </si>
  <si>
    <t>162301102R00</t>
  </si>
  <si>
    <t>167101101R00</t>
  </si>
  <si>
    <t>171201201R00</t>
  </si>
  <si>
    <t>181202305R00</t>
  </si>
  <si>
    <t>56</t>
  </si>
  <si>
    <t>564861111R00</t>
  </si>
  <si>
    <t>59</t>
  </si>
  <si>
    <t>596215020R00</t>
  </si>
  <si>
    <t>59245110</t>
  </si>
  <si>
    <t>91</t>
  </si>
  <si>
    <t>916661111R00</t>
  </si>
  <si>
    <t>59217331</t>
  </si>
  <si>
    <t>917762111R00</t>
  </si>
  <si>
    <t>59217020</t>
  </si>
  <si>
    <t>917862111R00</t>
  </si>
  <si>
    <t>59217421</t>
  </si>
  <si>
    <t>918101111R00</t>
  </si>
  <si>
    <t>919731102RT1</t>
  </si>
  <si>
    <t>919731102RT2</t>
  </si>
  <si>
    <t>95</t>
  </si>
  <si>
    <t>953941321R01</t>
  </si>
  <si>
    <t>H22</t>
  </si>
  <si>
    <t>998223011R00</t>
  </si>
  <si>
    <t>S</t>
  </si>
  <si>
    <t>979081111R00</t>
  </si>
  <si>
    <t>979087212R00</t>
  </si>
  <si>
    <t>979093111R00</t>
  </si>
  <si>
    <t>VRN</t>
  </si>
  <si>
    <t>005 12-1020.R</t>
  </si>
  <si>
    <t>005 12-2010.R</t>
  </si>
  <si>
    <t>005 24-1020.R</t>
  </si>
  <si>
    <t>Zkrácený popis / Varianta</t>
  </si>
  <si>
    <t>Rozměry</t>
  </si>
  <si>
    <t>Přípravné a přidružené práce</t>
  </si>
  <si>
    <t>Rozebrání dlažeb ze zámkové dlažby</t>
  </si>
  <si>
    <t>Odstranění asfaltové vrstvy pl.do 50 m2, tl. 5 cm</t>
  </si>
  <si>
    <t>Odstranění podkladu pl.50 m2,kam.zpev.cem.tl.15 cm</t>
  </si>
  <si>
    <t>Vytrhání obrubníků chodníkových a parkových</t>
  </si>
  <si>
    <t>Odkopávky a prokopávky</t>
  </si>
  <si>
    <t>Odkopávky pro silnice v hor. 3 do 100 m3</t>
  </si>
  <si>
    <t>Příplatek za lepivost - odkop. pro silnice v hor.3</t>
  </si>
  <si>
    <t>Hloubené vykopávky</t>
  </si>
  <si>
    <t>Hloubení rýh š.do 60 cm v hor.3 do 50 m3 -pro obruby</t>
  </si>
  <si>
    <t>Přípl.za lepivost,hloubení rýh 60 cm,hor.3 -pro obruby</t>
  </si>
  <si>
    <t>Přemístění výkopku</t>
  </si>
  <si>
    <t>Vodorovné přemístění výkopku z hor.1-4 do 1000 m</t>
  </si>
  <si>
    <t>Nakládání výkopku z hor.1-4 v množství do 100 m3</t>
  </si>
  <si>
    <t>Konstrukce ze zemin</t>
  </si>
  <si>
    <t>Uložení sypaniny na skl.-sypanina na výšku přes 2m -mezideponie investora</t>
  </si>
  <si>
    <t>Povrchové úpravy terénu</t>
  </si>
  <si>
    <t>Úprava pláně komunikací na násypech se zhutněním</t>
  </si>
  <si>
    <t>Podkladní vrstvy komunikací, letišť a ploch</t>
  </si>
  <si>
    <t>Podklad ze štěrkodrti po zhutnění tloušťky 20 cm  (15+5)</t>
  </si>
  <si>
    <t>Kryty pozemních komunikací, letišť a ploch dlážděných (předlažby)</t>
  </si>
  <si>
    <t>Kladení zámkové dlažby tl. 6 cm do drtě tl. 3 cm</t>
  </si>
  <si>
    <t>Dlažba vibrolisovaná, standardní povrch, přírodní (šedá)  20x10x6</t>
  </si>
  <si>
    <t>Doplňující konstrukce a práce na pozemních komunikacích a zpevněných plochách</t>
  </si>
  <si>
    <t>Osazení park. obrubníků do lože z C 12/15 s opěrou</t>
  </si>
  <si>
    <t>Obrubník parkový betonový ABO 12-20 1000/50/200 mm šedý</t>
  </si>
  <si>
    <t>Osazení ležat. obrub. bet. s opěrou,lože z C 12/15</t>
  </si>
  <si>
    <t>Obrubník nájezdový betonový šedý 148,5x145x1000 mm</t>
  </si>
  <si>
    <t>Osazení stojat. obrub.bet. s opěrou,lože z C 12/15</t>
  </si>
  <si>
    <t>Obrubník chodníkový betonový ABO 14-10 1000/100/250</t>
  </si>
  <si>
    <t>Lože pod obrubníky nebo obruby dlažeb z C 12/15</t>
  </si>
  <si>
    <t>Zarovnání styčné plochy u vstupů do objektu</t>
  </si>
  <si>
    <t>Zarovnání styčné plochy u boční strany objektu</t>
  </si>
  <si>
    <t>Různé dokončovací konstrukce a práce na pozemních stavbách</t>
  </si>
  <si>
    <t>Demontáž a zpětné osazení železných rohoží s rámy o ploše do 1 m2</t>
  </si>
  <si>
    <t>Komunikace pozemní a letiště</t>
  </si>
  <si>
    <t>Přesun hmot, pozemní komunikace, kryt dlážděný</t>
  </si>
  <si>
    <t>Přesuny sutí</t>
  </si>
  <si>
    <t>Odvoz suti a vybour. hmot na skládku do 1 km</t>
  </si>
  <si>
    <t>Nakládání suti na dopravní prostředky - komunikace</t>
  </si>
  <si>
    <t>Uložení suti na skládku bez zhutnění -mezideponie investora</t>
  </si>
  <si>
    <t>Vedlejší rozpočtové náklady</t>
  </si>
  <si>
    <t>Zařízení staveniště</t>
  </si>
  <si>
    <t>Provozní a územní vlivy</t>
  </si>
  <si>
    <t>Geodetické práce</t>
  </si>
  <si>
    <t>Doba výstavby:</t>
  </si>
  <si>
    <t>Začátek výstavby:</t>
  </si>
  <si>
    <t>Konec výstavby:</t>
  </si>
  <si>
    <t>Zpracováno dne:</t>
  </si>
  <si>
    <t>MJ</t>
  </si>
  <si>
    <t>m2</t>
  </si>
  <si>
    <t>m</t>
  </si>
  <si>
    <t>m3</t>
  </si>
  <si>
    <t>kus</t>
  </si>
  <si>
    <t>t</t>
  </si>
  <si>
    <t>Množství</t>
  </si>
  <si>
    <t>Objednatel:</t>
  </si>
  <si>
    <t>Projektant:</t>
  </si>
  <si>
    <t>Zhotovitel:</t>
  </si>
  <si>
    <t>Zpracoval:</t>
  </si>
  <si>
    <t>Cena/MJ</t>
  </si>
  <si>
    <t>(Kč)</t>
  </si>
  <si>
    <t> </t>
  </si>
  <si>
    <t>Náklady (Kč)</t>
  </si>
  <si>
    <t>Dodávka</t>
  </si>
  <si>
    <t>Celkem:</t>
  </si>
  <si>
    <t>Montáž</t>
  </si>
  <si>
    <t>Celkem</t>
  </si>
  <si>
    <t>Cenová</t>
  </si>
  <si>
    <t>soustava</t>
  </si>
  <si>
    <t>RTS I / 2019</t>
  </si>
  <si>
    <t>Přesuny</t>
  </si>
  <si>
    <t>Typ skupiny</t>
  </si>
  <si>
    <t>HSV mat</t>
  </si>
  <si>
    <t>HSV prac</t>
  </si>
  <si>
    <t>PSV mat</t>
  </si>
  <si>
    <t>PSV prac</t>
  </si>
  <si>
    <t>Mont mat</t>
  </si>
  <si>
    <t>Mont prac</t>
  </si>
  <si>
    <t>Ostatní mat.</t>
  </si>
  <si>
    <t>11_</t>
  </si>
  <si>
    <t>12_</t>
  </si>
  <si>
    <t>13_</t>
  </si>
  <si>
    <t>16_</t>
  </si>
  <si>
    <t>17_</t>
  </si>
  <si>
    <t>18_</t>
  </si>
  <si>
    <t>56_</t>
  </si>
  <si>
    <t>59_</t>
  </si>
  <si>
    <t>91_</t>
  </si>
  <si>
    <t>95_</t>
  </si>
  <si>
    <t>H22_</t>
  </si>
  <si>
    <t>S_</t>
  </si>
  <si>
    <t>VRN_</t>
  </si>
  <si>
    <t>1_</t>
  </si>
  <si>
    <t>5_</t>
  </si>
  <si>
    <t>9_</t>
  </si>
  <si>
    <t>_</t>
  </si>
  <si>
    <t>MAT</t>
  </si>
  <si>
    <t>WORK</t>
  </si>
  <si>
    <t>CELK</t>
  </si>
  <si>
    <t>Slepý stavební rozpočet - rekapitulace</t>
  </si>
  <si>
    <t>Objekt</t>
  </si>
  <si>
    <t>Zkrácený popis</t>
  </si>
  <si>
    <t>Náklady (Kč) - dodávka</t>
  </si>
  <si>
    <t>Náklady (Kč) - Montáž</t>
  </si>
  <si>
    <t>Náklady (Kč) - celkem</t>
  </si>
  <si>
    <t>T</t>
  </si>
  <si>
    <t>Výkaz výměr</t>
  </si>
  <si>
    <t>Potřebné množství</t>
  </si>
  <si>
    <t>Rozpočtové náklady v Kč</t>
  </si>
  <si>
    <t>A</t>
  </si>
  <si>
    <t>HSV</t>
  </si>
  <si>
    <t>PSV</t>
  </si>
  <si>
    <t>"M"</t>
  </si>
  <si>
    <t>Ostatní materiál</t>
  </si>
  <si>
    <t>Přesun hmot a sutí</t>
  </si>
  <si>
    <t>ZRN celkem</t>
  </si>
  <si>
    <t>Základ 0%</t>
  </si>
  <si>
    <t>Základ 15%</t>
  </si>
  <si>
    <t>Základ 21%</t>
  </si>
  <si>
    <t>Projektant</t>
  </si>
  <si>
    <t>Datum, razítko a podpis</t>
  </si>
  <si>
    <t>Základní rozpočtové náklady</t>
  </si>
  <si>
    <t>Dodávky</t>
  </si>
  <si>
    <t>Krycí list slepého rozpočtu</t>
  </si>
  <si>
    <t>B</t>
  </si>
  <si>
    <t>Práce přesčas</t>
  </si>
  <si>
    <t>Bez pevné podl.</t>
  </si>
  <si>
    <t>Kulturní památka</t>
  </si>
  <si>
    <t>Vedlejší náklady</t>
  </si>
  <si>
    <t>DN celkem</t>
  </si>
  <si>
    <t>DN celkem z obj.</t>
  </si>
  <si>
    <t>DPH 15%</t>
  </si>
  <si>
    <t>DPH 21%</t>
  </si>
  <si>
    <t>Objednatel</t>
  </si>
  <si>
    <t>Doplňkové náklady</t>
  </si>
  <si>
    <t>C</t>
  </si>
  <si>
    <t>Mimostav. doprava</t>
  </si>
  <si>
    <t>Územní vlivy</t>
  </si>
  <si>
    <t>Provozní vlivy</t>
  </si>
  <si>
    <t>Ostatní</t>
  </si>
  <si>
    <t>NUS z rozpočtu</t>
  </si>
  <si>
    <t>NUS celkem</t>
  </si>
  <si>
    <t>NUS celkem z obj.</t>
  </si>
  <si>
    <t>ORN celkem</t>
  </si>
  <si>
    <t>ORN celkem z obj.</t>
  </si>
  <si>
    <t>Celkem bez DPH</t>
  </si>
  <si>
    <t>Celkem včetně DPH</t>
  </si>
  <si>
    <t>Zhotovitel</t>
  </si>
  <si>
    <t>IČ/DIČ:</t>
  </si>
  <si>
    <t>Položek:</t>
  </si>
  <si>
    <t>Datum:</t>
  </si>
  <si>
    <t>Náklady na umístění stavby (NUS)</t>
  </si>
  <si>
    <t>Oprava komunikace pro pěší u č.p.332-337, Ralsko-Ploužnice</t>
  </si>
  <si>
    <t>1,627+59,704+210,727+116,71   </t>
  </si>
  <si>
    <t>242,55+104,995+136,587+0,835   </t>
  </si>
  <si>
    <t>16   </t>
  </si>
  <si>
    <t>30,8   </t>
  </si>
  <si>
    <t>2,55*16   </t>
  </si>
  <si>
    <t>(337,5+57,8+135,2)*0,15*0,15   </t>
  </si>
  <si>
    <t>;ztratné 5%; 6,76   </t>
  </si>
  <si>
    <t>135,2   </t>
  </si>
  <si>
    <t>;ztratné 5%; 2,89   </t>
  </si>
  <si>
    <t>57,8   </t>
  </si>
  <si>
    <t>;ztratné 5%; 16,875   </t>
  </si>
  <si>
    <t>337,5   </t>
  </si>
  <si>
    <t>;ztratné 5%; 27,5   </t>
  </si>
  <si>
    <t>550   </t>
  </si>
  <si>
    <t>66,936   </t>
  </si>
  <si>
    <t>55,0+11,936   </t>
  </si>
  <si>
    <t>550*0,1   </t>
  </si>
  <si>
    <t>530,5   </t>
  </si>
  <si>
    <t>550-7,233   </t>
  </si>
  <si>
    <t>7,233   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</si>
</sst>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4" x14ac:knownFonts="1">
    <font>
      <sz val="10"/>
      <name val="Arial"/>
    </font>
    <font>
      <sz val="10"/>
      <color indexed="8"/>
      <name val="Arial"/>
      <charset val="238"/>
    </font>
    <font>
      <sz val="18"/>
      <color indexed="8"/>
      <name val="Arial"/>
      <charset val="238"/>
    </font>
    <font>
      <b/>
      <sz val="10"/>
      <color indexed="8"/>
      <name val="Arial"/>
      <charset val="238"/>
    </font>
    <font>
      <sz val="10"/>
      <color indexed="56"/>
      <name val="Arial"/>
      <charset val="238"/>
    </font>
    <font>
      <sz val="10"/>
      <color indexed="61"/>
      <name val="Arial"/>
      <charset val="238"/>
    </font>
    <font>
      <sz val="10"/>
      <color indexed="62"/>
      <name val="Arial"/>
      <charset val="238"/>
    </font>
    <font>
      <i/>
      <sz val="8"/>
      <color indexed="8"/>
      <name val="Arial"/>
      <charset val="238"/>
    </font>
    <font>
      <b/>
      <sz val="10"/>
      <color indexed="56"/>
      <name val="Arial"/>
      <charset val="238"/>
    </font>
    <font>
      <b/>
      <sz val="18"/>
      <color indexed="8"/>
      <name val="Arial"/>
      <charset val="238"/>
    </font>
    <font>
      <b/>
      <sz val="20"/>
      <color indexed="8"/>
      <name val="Arial"/>
      <charset val="238"/>
    </font>
    <font>
      <b/>
      <sz val="12"/>
      <color indexed="8"/>
      <name val="Arial"/>
      <charset val="238"/>
    </font>
    <font>
      <sz val="12"/>
      <color indexed="8"/>
      <name val="Arial"/>
      <charset val="238"/>
    </font>
    <font>
      <b/>
      <sz val="11"/>
      <color indexed="8"/>
      <name val="Arial"/>
      <charset val="238"/>
    </font>
    <font>
      <sz val="10"/>
      <name val="Arial"/>
      <family val="2"/>
      <charset val="238"/>
    </font>
    <font>
      <sz val="10"/>
      <color indexed="61"/>
      <name val="Arial"/>
      <family val="2"/>
      <charset val="238"/>
    </font>
    <font>
      <i/>
      <sz val="9"/>
      <color indexed="61"/>
      <name val="Arial"/>
      <family val="2"/>
      <charset val="238"/>
    </font>
    <font>
      <sz val="10"/>
      <color indexed="8"/>
      <name val="Arial"/>
      <family val="2"/>
      <charset val="238"/>
    </font>
    <font>
      <i/>
      <sz val="8"/>
      <color indexed="8"/>
      <name val="Arial"/>
      <family val="2"/>
      <charset val="238"/>
    </font>
    <font>
      <b/>
      <sz val="10"/>
      <color indexed="56"/>
      <name val="Arial"/>
      <family val="2"/>
      <charset val="238"/>
    </font>
    <font>
      <sz val="10"/>
      <color indexed="62"/>
      <name val="Arial"/>
      <family val="2"/>
      <charset val="238"/>
    </font>
    <font>
      <i/>
      <sz val="9"/>
      <color indexed="62"/>
      <name val="Arial"/>
      <family val="2"/>
      <charset val="238"/>
    </font>
    <font>
      <b/>
      <sz val="10"/>
      <color indexed="8"/>
      <name val="Arial"/>
      <family val="2"/>
      <charset val="238"/>
    </font>
    <font>
      <sz val="18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57"/>
        <bgColor indexed="9"/>
      </patternFill>
    </fill>
    <fill>
      <patternFill patternType="solid">
        <fgColor indexed="22"/>
        <bgColor indexed="9"/>
      </patternFill>
    </fill>
  </fills>
  <borders count="4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93">
    <xf numFmtId="0" fontId="1" fillId="0" borderId="0" xfId="0" applyFont="1" applyAlignment="1">
      <alignment vertical="center"/>
    </xf>
    <xf numFmtId="49" fontId="3" fillId="0" borderId="5" xfId="0" applyNumberFormat="1" applyFont="1" applyFill="1" applyBorder="1" applyAlignment="1" applyProtection="1">
      <alignment horizontal="left" vertical="center"/>
    </xf>
    <xf numFmtId="49" fontId="1" fillId="0" borderId="6" xfId="0" applyNumberFormat="1" applyFont="1" applyFill="1" applyBorder="1" applyAlignment="1" applyProtection="1">
      <alignment horizontal="left" vertical="center"/>
    </xf>
    <xf numFmtId="49" fontId="4" fillId="2" borderId="7" xfId="0" applyNumberFormat="1" applyFont="1" applyFill="1" applyBorder="1" applyAlignment="1" applyProtection="1">
      <alignment horizontal="left" vertical="center"/>
    </xf>
    <xf numFmtId="49" fontId="5" fillId="0" borderId="0" xfId="0" applyNumberFormat="1" applyFont="1" applyFill="1" applyBorder="1" applyAlignment="1" applyProtection="1">
      <alignment horizontal="left" vertical="center"/>
    </xf>
    <xf numFmtId="49" fontId="4" fillId="2" borderId="0" xfId="0" applyNumberFormat="1" applyFont="1" applyFill="1" applyBorder="1" applyAlignment="1" applyProtection="1">
      <alignment horizontal="left" vertical="center"/>
    </xf>
    <xf numFmtId="49" fontId="6" fillId="0" borderId="0" xfId="0" applyNumberFormat="1" applyFont="1" applyFill="1" applyBorder="1" applyAlignment="1" applyProtection="1">
      <alignment horizontal="left" vertical="center"/>
    </xf>
    <xf numFmtId="49" fontId="5" fillId="0" borderId="1" xfId="0" applyNumberFormat="1" applyFont="1" applyFill="1" applyBorder="1" applyAlignment="1" applyProtection="1">
      <alignment horizontal="left" vertical="center"/>
    </xf>
    <xf numFmtId="0" fontId="1" fillId="0" borderId="8" xfId="0" applyNumberFormat="1" applyFont="1" applyFill="1" applyBorder="1" applyAlignment="1" applyProtection="1">
      <alignment vertical="center"/>
    </xf>
    <xf numFmtId="49" fontId="7" fillId="0" borderId="0" xfId="0" applyNumberFormat="1" applyFont="1" applyFill="1" applyBorder="1" applyAlignment="1" applyProtection="1">
      <alignment horizontal="left" vertical="center"/>
    </xf>
    <xf numFmtId="49" fontId="3" fillId="0" borderId="10" xfId="0" applyNumberFormat="1" applyFont="1" applyFill="1" applyBorder="1" applyAlignment="1" applyProtection="1">
      <alignment horizontal="left" vertical="center"/>
    </xf>
    <xf numFmtId="49" fontId="1" fillId="0" borderId="11" xfId="0" applyNumberFormat="1" applyFont="1" applyFill="1" applyBorder="1" applyAlignment="1" applyProtection="1">
      <alignment horizontal="left" vertical="center"/>
    </xf>
    <xf numFmtId="49" fontId="8" fillId="2" borderId="7" xfId="0" applyNumberFormat="1" applyFont="1" applyFill="1" applyBorder="1" applyAlignment="1" applyProtection="1">
      <alignment horizontal="left" vertical="center"/>
    </xf>
    <xf numFmtId="49" fontId="8" fillId="2" borderId="0" xfId="0" applyNumberFormat="1" applyFont="1" applyFill="1" applyBorder="1" applyAlignment="1" applyProtection="1">
      <alignment horizontal="left" vertical="center"/>
    </xf>
    <xf numFmtId="49" fontId="1" fillId="0" borderId="0" xfId="0" applyNumberFormat="1" applyFont="1" applyFill="1" applyBorder="1" applyAlignment="1" applyProtection="1">
      <alignment horizontal="left" vertical="center"/>
    </xf>
    <xf numFmtId="49" fontId="3" fillId="0" borderId="10" xfId="0" applyNumberFormat="1" applyFont="1" applyFill="1" applyBorder="1" applyAlignment="1" applyProtection="1">
      <alignment horizontal="center" vertical="center"/>
    </xf>
    <xf numFmtId="4" fontId="5" fillId="0" borderId="0" xfId="0" applyNumberFormat="1" applyFont="1" applyFill="1" applyBorder="1" applyAlignment="1" applyProtection="1">
      <alignment horizontal="right" vertical="center"/>
    </xf>
    <xf numFmtId="4" fontId="6" fillId="0" borderId="0" xfId="0" applyNumberFormat="1" applyFont="1" applyFill="1" applyBorder="1" applyAlignment="1" applyProtection="1">
      <alignment horizontal="right" vertical="center"/>
    </xf>
    <xf numFmtId="4" fontId="5" fillId="0" borderId="1" xfId="0" applyNumberFormat="1" applyFont="1" applyFill="1" applyBorder="1" applyAlignment="1" applyProtection="1">
      <alignment horizontal="right" vertical="center"/>
    </xf>
    <xf numFmtId="49" fontId="3" fillId="0" borderId="15" xfId="0" applyNumberFormat="1" applyFont="1" applyFill="1" applyBorder="1" applyAlignment="1" applyProtection="1">
      <alignment horizontal="center" vertical="center"/>
    </xf>
    <xf numFmtId="49" fontId="3" fillId="0" borderId="16" xfId="0" applyNumberFormat="1" applyFont="1" applyFill="1" applyBorder="1" applyAlignment="1" applyProtection="1">
      <alignment horizontal="center" vertical="center"/>
    </xf>
    <xf numFmtId="49" fontId="3" fillId="0" borderId="18" xfId="0" applyNumberFormat="1" applyFont="1" applyFill="1" applyBorder="1" applyAlignment="1" applyProtection="1">
      <alignment horizontal="center" vertical="center"/>
    </xf>
    <xf numFmtId="49" fontId="3" fillId="0" borderId="20" xfId="0" applyNumberFormat="1" applyFont="1" applyFill="1" applyBorder="1" applyAlignment="1" applyProtection="1">
      <alignment horizontal="center" vertical="center"/>
    </xf>
    <xf numFmtId="49" fontId="3" fillId="0" borderId="22" xfId="0" applyNumberFormat="1" applyFont="1" applyFill="1" applyBorder="1" applyAlignment="1" applyProtection="1">
      <alignment horizontal="center" vertical="center"/>
    </xf>
    <xf numFmtId="49" fontId="3" fillId="0" borderId="25" xfId="0" applyNumberFormat="1" applyFont="1" applyFill="1" applyBorder="1" applyAlignment="1" applyProtection="1">
      <alignment horizontal="center" vertical="center"/>
    </xf>
    <xf numFmtId="49" fontId="3" fillId="0" borderId="26" xfId="0" applyNumberFormat="1" applyFont="1" applyFill="1" applyBorder="1" applyAlignment="1" applyProtection="1">
      <alignment horizontal="center" vertical="center"/>
    </xf>
    <xf numFmtId="49" fontId="8" fillId="2" borderId="7" xfId="0" applyNumberFormat="1" applyFont="1" applyFill="1" applyBorder="1" applyAlignment="1" applyProtection="1">
      <alignment horizontal="right" vertical="center"/>
    </xf>
    <xf numFmtId="49" fontId="5" fillId="0" borderId="0" xfId="0" applyNumberFormat="1" applyFont="1" applyFill="1" applyBorder="1" applyAlignment="1" applyProtection="1">
      <alignment horizontal="right" vertical="center"/>
    </xf>
    <xf numFmtId="49" fontId="8" fillId="2" borderId="0" xfId="0" applyNumberFormat="1" applyFont="1" applyFill="1" applyBorder="1" applyAlignment="1" applyProtection="1">
      <alignment horizontal="right" vertical="center"/>
    </xf>
    <xf numFmtId="49" fontId="6" fillId="0" borderId="0" xfId="0" applyNumberFormat="1" applyFont="1" applyFill="1" applyBorder="1" applyAlignment="1" applyProtection="1">
      <alignment horizontal="right" vertical="center"/>
    </xf>
    <xf numFmtId="49" fontId="5" fillId="0" borderId="1" xfId="0" applyNumberFormat="1" applyFont="1" applyFill="1" applyBorder="1" applyAlignment="1" applyProtection="1">
      <alignment horizontal="right" vertical="center"/>
    </xf>
    <xf numFmtId="0" fontId="1" fillId="0" borderId="3" xfId="0" applyNumberFormat="1" applyFont="1" applyFill="1" applyBorder="1" applyAlignment="1" applyProtection="1">
      <alignment vertical="center"/>
    </xf>
    <xf numFmtId="0" fontId="1" fillId="0" borderId="27" xfId="0" applyNumberFormat="1" applyFont="1" applyFill="1" applyBorder="1" applyAlignment="1" applyProtection="1">
      <alignment vertical="center"/>
    </xf>
    <xf numFmtId="4" fontId="1" fillId="0" borderId="0" xfId="0" applyNumberFormat="1" applyFont="1" applyFill="1" applyBorder="1" applyAlignment="1" applyProtection="1">
      <alignment horizontal="right" vertical="center"/>
    </xf>
    <xf numFmtId="49" fontId="1" fillId="0" borderId="0" xfId="0" applyNumberFormat="1" applyFont="1" applyFill="1" applyBorder="1" applyAlignment="1" applyProtection="1">
      <alignment horizontal="right" vertical="center"/>
    </xf>
    <xf numFmtId="4" fontId="8" fillId="2" borderId="7" xfId="0" applyNumberFormat="1" applyFont="1" applyFill="1" applyBorder="1" applyAlignment="1" applyProtection="1">
      <alignment horizontal="right" vertical="center"/>
    </xf>
    <xf numFmtId="4" fontId="8" fillId="2" borderId="0" xfId="0" applyNumberFormat="1" applyFont="1" applyFill="1" applyBorder="1" applyAlignment="1" applyProtection="1">
      <alignment horizontal="right" vertical="center"/>
    </xf>
    <xf numFmtId="4" fontId="3" fillId="0" borderId="8" xfId="0" applyNumberFormat="1" applyFont="1" applyFill="1" applyBorder="1" applyAlignment="1" applyProtection="1">
      <alignment horizontal="right" vertical="center"/>
    </xf>
    <xf numFmtId="49" fontId="3" fillId="0" borderId="28" xfId="0" applyNumberFormat="1" applyFont="1" applyFill="1" applyBorder="1" applyAlignment="1" applyProtection="1">
      <alignment horizontal="left" vertical="center"/>
    </xf>
    <xf numFmtId="49" fontId="1" fillId="0" borderId="7" xfId="0" applyNumberFormat="1" applyFont="1" applyFill="1" applyBorder="1" applyAlignment="1" applyProtection="1">
      <alignment horizontal="left" vertical="center"/>
    </xf>
    <xf numFmtId="49" fontId="3" fillId="0" borderId="29" xfId="0" applyNumberFormat="1" applyFont="1" applyFill="1" applyBorder="1" applyAlignment="1" applyProtection="1">
      <alignment horizontal="left" vertical="center"/>
    </xf>
    <xf numFmtId="49" fontId="3" fillId="0" borderId="32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Border="1" applyAlignment="1" applyProtection="1">
      <alignment horizontal="left" vertical="center"/>
    </xf>
    <xf numFmtId="4" fontId="1" fillId="0" borderId="7" xfId="0" applyNumberFormat="1" applyFont="1" applyFill="1" applyBorder="1" applyAlignment="1" applyProtection="1">
      <alignment horizontal="right" vertical="center"/>
    </xf>
    <xf numFmtId="4" fontId="3" fillId="0" borderId="0" xfId="0" applyNumberFormat="1" applyFont="1" applyFill="1" applyBorder="1" applyAlignment="1" applyProtection="1">
      <alignment horizontal="right" vertical="center"/>
    </xf>
    <xf numFmtId="0" fontId="1" fillId="0" borderId="1" xfId="0" applyNumberFormat="1" applyFont="1" applyFill="1" applyBorder="1" applyAlignment="1" applyProtection="1">
      <alignment vertical="center"/>
    </xf>
    <xf numFmtId="49" fontId="10" fillId="3" borderId="35" xfId="0" applyNumberFormat="1" applyFont="1" applyFill="1" applyBorder="1" applyAlignment="1" applyProtection="1">
      <alignment horizontal="center" vertical="center"/>
    </xf>
    <xf numFmtId="49" fontId="11" fillId="0" borderId="36" xfId="0" applyNumberFormat="1" applyFont="1" applyFill="1" applyBorder="1" applyAlignment="1" applyProtection="1">
      <alignment horizontal="left" vertical="center"/>
    </xf>
    <xf numFmtId="49" fontId="11" fillId="0" borderId="37" xfId="0" applyNumberFormat="1" applyFont="1" applyFill="1" applyBorder="1" applyAlignment="1" applyProtection="1">
      <alignment horizontal="left" vertical="center"/>
    </xf>
    <xf numFmtId="0" fontId="1" fillId="0" borderId="39" xfId="0" applyNumberFormat="1" applyFont="1" applyFill="1" applyBorder="1" applyAlignment="1" applyProtection="1">
      <alignment vertical="center"/>
    </xf>
    <xf numFmtId="49" fontId="7" fillId="0" borderId="7" xfId="0" applyNumberFormat="1" applyFont="1" applyFill="1" applyBorder="1" applyAlignment="1" applyProtection="1">
      <alignment horizontal="left" vertical="center"/>
    </xf>
    <xf numFmtId="49" fontId="12" fillId="0" borderId="35" xfId="0" applyNumberFormat="1" applyFont="1" applyFill="1" applyBorder="1" applyAlignment="1" applyProtection="1">
      <alignment horizontal="left"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23" xfId="0" applyNumberFormat="1" applyFont="1" applyFill="1" applyBorder="1" applyAlignment="1" applyProtection="1">
      <alignment vertical="center"/>
    </xf>
    <xf numFmtId="0" fontId="1" fillId="0" borderId="33" xfId="0" applyNumberFormat="1" applyFont="1" applyFill="1" applyBorder="1" applyAlignment="1" applyProtection="1">
      <alignment vertical="center"/>
    </xf>
    <xf numFmtId="4" fontId="12" fillId="0" borderId="35" xfId="0" applyNumberFormat="1" applyFont="1" applyFill="1" applyBorder="1" applyAlignment="1" applyProtection="1">
      <alignment horizontal="right" vertical="center"/>
    </xf>
    <xf numFmtId="49" fontId="12" fillId="0" borderId="35" xfId="0" applyNumberFormat="1" applyFont="1" applyFill="1" applyBorder="1" applyAlignment="1" applyProtection="1">
      <alignment horizontal="right" vertical="center"/>
    </xf>
    <xf numFmtId="4" fontId="12" fillId="0" borderId="20" xfId="0" applyNumberFormat="1" applyFont="1" applyFill="1" applyBorder="1" applyAlignment="1" applyProtection="1">
      <alignment horizontal="right" vertical="center"/>
    </xf>
    <xf numFmtId="0" fontId="1" fillId="0" borderId="13" xfId="0" applyNumberFormat="1" applyFont="1" applyFill="1" applyBorder="1" applyAlignment="1" applyProtection="1">
      <alignment vertical="center"/>
    </xf>
    <xf numFmtId="0" fontId="1" fillId="0" borderId="24" xfId="0" applyNumberFormat="1" applyFont="1" applyFill="1" applyBorder="1" applyAlignment="1" applyProtection="1">
      <alignment vertical="center"/>
    </xf>
    <xf numFmtId="0" fontId="1" fillId="0" borderId="38" xfId="0" applyNumberFormat="1" applyFont="1" applyFill="1" applyBorder="1" applyAlignment="1" applyProtection="1">
      <alignment vertical="center"/>
    </xf>
    <xf numFmtId="4" fontId="11" fillId="3" borderId="42" xfId="0" applyNumberFormat="1" applyFont="1" applyFill="1" applyBorder="1" applyAlignment="1" applyProtection="1">
      <alignment horizontal="right" vertical="center"/>
    </xf>
    <xf numFmtId="0" fontId="1" fillId="0" borderId="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left" vertical="center" wrapText="1"/>
    </xf>
    <xf numFmtId="0" fontId="1" fillId="0" borderId="8" xfId="0" applyNumberFormat="1" applyFont="1" applyFill="1" applyBorder="1" applyAlignment="1" applyProtection="1">
      <alignment horizontal="left" vertical="center"/>
    </xf>
    <xf numFmtId="0" fontId="1" fillId="0" borderId="3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3" fillId="0" borderId="8" xfId="0" applyNumberFormat="1" applyFont="1" applyFill="1" applyBorder="1" applyAlignment="1" applyProtection="1">
      <alignment horizontal="left" vertical="center" wrapText="1"/>
    </xf>
    <xf numFmtId="0" fontId="3" fillId="0" borderId="8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1" fillId="0" borderId="8" xfId="0" applyNumberFormat="1" applyFont="1" applyFill="1" applyBorder="1" applyAlignment="1" applyProtection="1">
      <alignment horizontal="left" vertical="center" wrapText="1"/>
    </xf>
    <xf numFmtId="49" fontId="1" fillId="0" borderId="23" xfId="0" applyNumberFormat="1" applyFont="1" applyFill="1" applyBorder="1" applyAlignment="1" applyProtection="1">
      <alignment horizontal="left" vertical="center"/>
    </xf>
    <xf numFmtId="0" fontId="1" fillId="0" borderId="24" xfId="0" applyNumberFormat="1" applyFont="1" applyFill="1" applyBorder="1" applyAlignment="1" applyProtection="1">
      <alignment horizontal="left" vertical="center"/>
    </xf>
    <xf numFmtId="49" fontId="1" fillId="0" borderId="24" xfId="0" applyNumberFormat="1" applyFont="1" applyFill="1" applyBorder="1" applyAlignment="1" applyProtection="1">
      <alignment horizontal="left" vertical="center"/>
    </xf>
    <xf numFmtId="0" fontId="1" fillId="0" borderId="3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24" xfId="0" applyNumberFormat="1" applyFont="1" applyFill="1" applyBorder="1" applyAlignment="1" applyProtection="1">
      <alignment horizontal="left" vertical="center" wrapText="1"/>
    </xf>
    <xf numFmtId="0" fontId="1" fillId="0" borderId="46" xfId="0" applyNumberFormat="1" applyFont="1" applyFill="1" applyBorder="1" applyAlignment="1" applyProtection="1">
      <alignment horizontal="left" vertical="center"/>
    </xf>
    <xf numFmtId="49" fontId="1" fillId="0" borderId="0" xfId="0" applyNumberFormat="1" applyFont="1" applyFill="1" applyBorder="1" applyAlignment="1" applyProtection="1">
      <alignment horizontal="left" vertical="center"/>
    </xf>
    <xf numFmtId="0" fontId="1" fillId="0" borderId="33" xfId="0" applyNumberFormat="1" applyFont="1" applyFill="1" applyBorder="1" applyAlignment="1" applyProtection="1">
      <alignment horizontal="left" vertical="center"/>
    </xf>
    <xf numFmtId="0" fontId="1" fillId="0" borderId="1" xfId="0" applyNumberFormat="1" applyFont="1" applyFill="1" applyBorder="1" applyAlignment="1" applyProtection="1">
      <alignment horizontal="left" vertical="center"/>
    </xf>
    <xf numFmtId="49" fontId="9" fillId="0" borderId="34" xfId="0" applyNumberFormat="1" applyFont="1" applyFill="1" applyBorder="1" applyAlignment="1" applyProtection="1">
      <alignment horizontal="center" vertical="center"/>
    </xf>
    <xf numFmtId="0" fontId="9" fillId="0" borderId="34" xfId="0" applyNumberFormat="1" applyFont="1" applyFill="1" applyBorder="1" applyAlignment="1" applyProtection="1">
      <alignment horizontal="center" vertical="center"/>
    </xf>
    <xf numFmtId="49" fontId="13" fillId="0" borderId="38" xfId="0" applyNumberFormat="1" applyFont="1" applyFill="1" applyBorder="1" applyAlignment="1" applyProtection="1">
      <alignment horizontal="left" vertical="center"/>
    </xf>
    <xf numFmtId="0" fontId="13" fillId="0" borderId="42" xfId="0" applyNumberFormat="1" applyFont="1" applyFill="1" applyBorder="1" applyAlignment="1" applyProtection="1">
      <alignment horizontal="left" vertical="center"/>
    </xf>
    <xf numFmtId="49" fontId="12" fillId="0" borderId="38" xfId="0" applyNumberFormat="1" applyFont="1" applyFill="1" applyBorder="1" applyAlignment="1" applyProtection="1">
      <alignment horizontal="left" vertical="center"/>
    </xf>
    <xf numFmtId="0" fontId="12" fillId="0" borderId="42" xfId="0" applyNumberFormat="1" applyFont="1" applyFill="1" applyBorder="1" applyAlignment="1" applyProtection="1">
      <alignment horizontal="left" vertical="center"/>
    </xf>
    <xf numFmtId="49" fontId="11" fillId="0" borderId="38" xfId="0" applyNumberFormat="1" applyFont="1" applyFill="1" applyBorder="1" applyAlignment="1" applyProtection="1">
      <alignment horizontal="left" vertical="center"/>
    </xf>
    <xf numFmtId="0" fontId="11" fillId="0" borderId="42" xfId="0" applyNumberFormat="1" applyFont="1" applyFill="1" applyBorder="1" applyAlignment="1" applyProtection="1">
      <alignment horizontal="left" vertical="center"/>
    </xf>
    <xf numFmtId="49" fontId="11" fillId="3" borderId="38" xfId="0" applyNumberFormat="1" applyFont="1" applyFill="1" applyBorder="1" applyAlignment="1" applyProtection="1">
      <alignment horizontal="left" vertical="center"/>
    </xf>
    <xf numFmtId="0" fontId="11" fillId="3" borderId="34" xfId="0" applyNumberFormat="1" applyFont="1" applyFill="1" applyBorder="1" applyAlignment="1" applyProtection="1">
      <alignment horizontal="left" vertical="center"/>
    </xf>
    <xf numFmtId="49" fontId="12" fillId="0" borderId="40" xfId="0" applyNumberFormat="1" applyFont="1" applyFill="1" applyBorder="1" applyAlignment="1" applyProtection="1">
      <alignment horizontal="left" vertical="center"/>
    </xf>
    <xf numFmtId="0" fontId="12" fillId="0" borderId="7" xfId="0" applyNumberFormat="1" applyFont="1" applyFill="1" applyBorder="1" applyAlignment="1" applyProtection="1">
      <alignment horizontal="left" vertical="center"/>
    </xf>
    <xf numFmtId="0" fontId="12" fillId="0" borderId="43" xfId="0" applyNumberFormat="1" applyFont="1" applyFill="1" applyBorder="1" applyAlignment="1" applyProtection="1">
      <alignment horizontal="left" vertical="center"/>
    </xf>
    <xf numFmtId="49" fontId="12" fillId="0" borderId="27" xfId="0" applyNumberFormat="1" applyFont="1" applyFill="1" applyBorder="1" applyAlignment="1" applyProtection="1">
      <alignment horizontal="left" vertical="center"/>
    </xf>
    <xf numFmtId="0" fontId="12" fillId="0" borderId="0" xfId="0" applyNumberFormat="1" applyFont="1" applyFill="1" applyBorder="1" applyAlignment="1" applyProtection="1">
      <alignment horizontal="left" vertical="center"/>
    </xf>
    <xf numFmtId="0" fontId="12" fillId="0" borderId="44" xfId="0" applyNumberFormat="1" applyFont="1" applyFill="1" applyBorder="1" applyAlignment="1" applyProtection="1">
      <alignment horizontal="left" vertical="center"/>
    </xf>
    <xf numFmtId="49" fontId="12" fillId="0" borderId="41" xfId="0" applyNumberFormat="1" applyFont="1" applyFill="1" applyBorder="1" applyAlignment="1" applyProtection="1">
      <alignment horizontal="left" vertical="center"/>
    </xf>
    <xf numFmtId="0" fontId="12" fillId="0" borderId="9" xfId="0" applyNumberFormat="1" applyFont="1" applyFill="1" applyBorder="1" applyAlignment="1" applyProtection="1">
      <alignment horizontal="left" vertical="center"/>
    </xf>
    <xf numFmtId="0" fontId="12" fillId="0" borderId="45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center"/>
    </xf>
    <xf numFmtId="0" fontId="1" fillId="0" borderId="23" xfId="0" applyNumberFormat="1" applyFont="1" applyFill="1" applyBorder="1" applyAlignment="1" applyProtection="1">
      <alignment horizontal="left" vertical="center"/>
    </xf>
    <xf numFmtId="0" fontId="1" fillId="0" borderId="4" xfId="0" applyNumberFormat="1" applyFont="1" applyFill="1" applyBorder="1" applyAlignment="1" applyProtection="1">
      <alignment horizontal="left" vertical="center"/>
    </xf>
    <xf numFmtId="0" fontId="1" fillId="0" borderId="9" xfId="0" applyNumberFormat="1" applyFont="1" applyFill="1" applyBorder="1" applyAlignment="1" applyProtection="1">
      <alignment horizontal="left" vertical="center"/>
    </xf>
    <xf numFmtId="0" fontId="1" fillId="0" borderId="14" xfId="0" applyNumberFormat="1" applyFont="1" applyFill="1" applyBorder="1" applyAlignment="1" applyProtection="1">
      <alignment horizontal="left" vertical="center"/>
    </xf>
    <xf numFmtId="49" fontId="3" fillId="0" borderId="30" xfId="0" applyNumberFormat="1" applyFont="1" applyFill="1" applyBorder="1" applyAlignment="1" applyProtection="1">
      <alignment horizontal="left" vertical="center"/>
    </xf>
    <xf numFmtId="0" fontId="3" fillId="0" borderId="31" xfId="0" applyNumberFormat="1" applyFont="1" applyFill="1" applyBorder="1" applyAlignment="1" applyProtection="1">
      <alignment horizontal="left" vertical="center"/>
    </xf>
    <xf numFmtId="49" fontId="1" fillId="0" borderId="7" xfId="0" applyNumberFormat="1" applyFont="1" applyFill="1" applyBorder="1" applyAlignment="1" applyProtection="1">
      <alignment horizontal="left" vertical="center"/>
    </xf>
    <xf numFmtId="0" fontId="1" fillId="0" borderId="7" xfId="0" applyNumberFormat="1" applyFont="1" applyFill="1" applyBorder="1" applyAlignment="1" applyProtection="1">
      <alignment horizontal="left" vertical="center"/>
    </xf>
    <xf numFmtId="49" fontId="1" fillId="0" borderId="8" xfId="0" applyNumberFormat="1" applyFont="1" applyFill="1" applyBorder="1" applyAlignment="1" applyProtection="1">
      <alignment horizontal="left" vertical="center"/>
    </xf>
    <xf numFmtId="49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49" fontId="3" fillId="0" borderId="12" xfId="0" applyNumberFormat="1" applyFont="1" applyFill="1" applyBorder="1" applyAlignment="1" applyProtection="1">
      <alignment horizontal="left"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13" xfId="0" applyNumberFormat="1" applyFont="1" applyFill="1" applyBorder="1" applyAlignment="1" applyProtection="1">
      <alignment horizontal="left" vertical="center"/>
    </xf>
    <xf numFmtId="49" fontId="3" fillId="0" borderId="17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49" fontId="3" fillId="0" borderId="4" xfId="0" applyNumberFormat="1" applyFont="1" applyFill="1" applyBorder="1" applyAlignment="1" applyProtection="1">
      <alignment horizontal="left" vertical="center"/>
    </xf>
    <xf numFmtId="0" fontId="3" fillId="0" borderId="9" xfId="0" applyNumberFormat="1" applyFont="1" applyFill="1" applyBorder="1" applyAlignment="1" applyProtection="1">
      <alignment horizontal="left" vertical="center"/>
    </xf>
    <xf numFmtId="0" fontId="3" fillId="0" borderId="14" xfId="0" applyNumberFormat="1" applyFont="1" applyFill="1" applyBorder="1" applyAlignment="1" applyProtection="1">
      <alignment horizontal="left" vertical="center"/>
    </xf>
    <xf numFmtId="49" fontId="8" fillId="2" borderId="7" xfId="0" applyNumberFormat="1" applyFont="1" applyFill="1" applyBorder="1" applyAlignment="1" applyProtection="1">
      <alignment horizontal="left" vertical="center"/>
    </xf>
    <xf numFmtId="0" fontId="8" fillId="2" borderId="7" xfId="0" applyNumberFormat="1" applyFont="1" applyFill="1" applyBorder="1" applyAlignment="1" applyProtection="1">
      <alignment horizontal="left" vertical="center"/>
    </xf>
    <xf numFmtId="49" fontId="8" fillId="2" borderId="0" xfId="0" applyNumberFormat="1" applyFont="1" applyFill="1" applyBorder="1" applyAlignment="1" applyProtection="1">
      <alignment horizontal="left" vertical="center"/>
    </xf>
    <xf numFmtId="0" fontId="8" fillId="2" borderId="0" xfId="0" applyNumberFormat="1" applyFont="1" applyFill="1" applyBorder="1" applyAlignment="1" applyProtection="1">
      <alignment horizontal="left" vertical="center"/>
    </xf>
    <xf numFmtId="49" fontId="6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49" fontId="3" fillId="0" borderId="8" xfId="0" applyNumberFormat="1" applyFont="1" applyFill="1" applyBorder="1" applyAlignment="1" applyProtection="1">
      <alignment horizontal="left" vertical="center"/>
    </xf>
    <xf numFmtId="49" fontId="5" fillId="0" borderId="1" xfId="0" applyNumberFormat="1" applyFont="1" applyFill="1" applyBorder="1" applyAlignment="1" applyProtection="1">
      <alignment horizontal="left" vertical="center"/>
    </xf>
    <xf numFmtId="0" fontId="5" fillId="0" borderId="1" xfId="0" applyNumberFormat="1" applyFont="1" applyFill="1" applyBorder="1" applyAlignment="1" applyProtection="1">
      <alignment horizontal="left" vertical="center"/>
    </xf>
    <xf numFmtId="164" fontId="14" fillId="0" borderId="0" xfId="0" applyNumberFormat="1" applyFont="1" applyAlignment="1">
      <alignment horizontal="right" vertical="center"/>
    </xf>
    <xf numFmtId="49" fontId="14" fillId="2" borderId="0" xfId="0" applyNumberFormat="1" applyFont="1" applyFill="1" applyAlignment="1">
      <alignment horizontal="left" vertical="center"/>
    </xf>
    <xf numFmtId="4" fontId="14" fillId="0" borderId="0" xfId="0" applyNumberFormat="1" applyFont="1" applyAlignment="1">
      <alignment horizontal="right" vertical="center"/>
    </xf>
    <xf numFmtId="4" fontId="14" fillId="2" borderId="0" xfId="0" applyNumberFormat="1" applyFont="1" applyFill="1" applyAlignment="1">
      <alignment horizontal="left" vertical="center"/>
    </xf>
    <xf numFmtId="4" fontId="14" fillId="0" borderId="1" xfId="0" applyNumberFormat="1" applyFont="1" applyBorder="1" applyAlignment="1">
      <alignment horizontal="right" vertical="center"/>
    </xf>
    <xf numFmtId="0" fontId="17" fillId="0" borderId="0" xfId="1" applyFont="1" applyAlignment="1">
      <alignment vertical="center"/>
    </xf>
    <xf numFmtId="0" fontId="17" fillId="0" borderId="0" xfId="1" applyFont="1" applyAlignment="1">
      <alignment horizontal="left" vertical="center"/>
    </xf>
    <xf numFmtId="0" fontId="17" fillId="0" borderId="0" xfId="1" applyFont="1" applyAlignment="1">
      <alignment horizontal="left" vertical="center" wrapText="1"/>
    </xf>
    <xf numFmtId="49" fontId="18" fillId="0" borderId="0" xfId="1" applyNumberFormat="1" applyFont="1" applyAlignment="1">
      <alignment horizontal="left" vertical="center"/>
    </xf>
    <xf numFmtId="4" fontId="15" fillId="0" borderId="0" xfId="1" applyNumberFormat="1" applyFont="1" applyAlignment="1">
      <alignment horizontal="right" vertical="center"/>
    </xf>
    <xf numFmtId="164" fontId="15" fillId="0" borderId="0" xfId="1" applyNumberFormat="1" applyFont="1" applyAlignment="1">
      <alignment horizontal="right" vertical="center"/>
    </xf>
    <xf numFmtId="49" fontId="15" fillId="0" borderId="0" xfId="1" applyNumberFormat="1" applyFont="1" applyAlignment="1">
      <alignment horizontal="left" vertical="center"/>
    </xf>
    <xf numFmtId="0" fontId="15" fillId="0" borderId="0" xfId="1" applyFont="1" applyAlignment="1">
      <alignment horizontal="left" vertical="center"/>
    </xf>
    <xf numFmtId="49" fontId="15" fillId="0" borderId="0" xfId="1" applyNumberFormat="1" applyFont="1" applyAlignment="1">
      <alignment horizontal="left" vertical="center"/>
    </xf>
    <xf numFmtId="49" fontId="19" fillId="2" borderId="0" xfId="1" applyNumberFormat="1" applyFont="1" applyFill="1" applyAlignment="1">
      <alignment horizontal="right" vertical="center"/>
    </xf>
    <xf numFmtId="164" fontId="19" fillId="2" borderId="0" xfId="1" applyNumberFormat="1" applyFont="1" applyFill="1" applyAlignment="1">
      <alignment horizontal="right" vertical="center"/>
    </xf>
    <xf numFmtId="49" fontId="19" fillId="2" borderId="0" xfId="1" applyNumberFormat="1" applyFont="1" applyFill="1" applyAlignment="1">
      <alignment horizontal="left" vertical="center"/>
    </xf>
    <xf numFmtId="0" fontId="19" fillId="2" borderId="0" xfId="1" applyFont="1" applyFill="1" applyAlignment="1">
      <alignment horizontal="left" vertical="center"/>
    </xf>
    <xf numFmtId="49" fontId="19" fillId="2" borderId="0" xfId="1" applyNumberFormat="1" applyFont="1" applyFill="1" applyAlignment="1">
      <alignment horizontal="left" vertical="center"/>
    </xf>
    <xf numFmtId="4" fontId="16" fillId="0" borderId="0" xfId="1" applyNumberFormat="1" applyFont="1" applyAlignment="1">
      <alignment horizontal="right" vertical="center"/>
    </xf>
    <xf numFmtId="0" fontId="16" fillId="0" borderId="0" xfId="1" applyFont="1" applyAlignment="1">
      <alignment horizontal="left" vertical="center"/>
    </xf>
    <xf numFmtId="49" fontId="16" fillId="0" borderId="0" xfId="1" applyNumberFormat="1" applyFont="1" applyAlignment="1">
      <alignment horizontal="left" vertical="center"/>
    </xf>
    <xf numFmtId="49" fontId="20" fillId="0" borderId="0" xfId="1" applyNumberFormat="1" applyFont="1" applyAlignment="1">
      <alignment horizontal="right" vertical="center"/>
    </xf>
    <xf numFmtId="164" fontId="21" fillId="0" borderId="0" xfId="1" applyNumberFormat="1" applyFont="1" applyAlignment="1">
      <alignment horizontal="right" vertical="center"/>
    </xf>
    <xf numFmtId="49" fontId="21" fillId="0" borderId="0" xfId="1" applyNumberFormat="1" applyFont="1" applyAlignment="1">
      <alignment horizontal="left" vertical="center"/>
    </xf>
    <xf numFmtId="0" fontId="21" fillId="0" borderId="0" xfId="1" applyFont="1" applyAlignment="1">
      <alignment horizontal="left" vertical="center"/>
    </xf>
    <xf numFmtId="49" fontId="20" fillId="0" borderId="0" xfId="1" applyNumberFormat="1" applyFont="1" applyAlignment="1">
      <alignment horizontal="left" vertical="center"/>
    </xf>
    <xf numFmtId="4" fontId="21" fillId="0" borderId="0" xfId="1" applyNumberFormat="1" applyFont="1" applyAlignment="1">
      <alignment horizontal="right" vertical="center"/>
    </xf>
    <xf numFmtId="4" fontId="20" fillId="0" borderId="0" xfId="1" applyNumberFormat="1" applyFont="1" applyAlignment="1">
      <alignment horizontal="right" vertical="center"/>
    </xf>
    <xf numFmtId="164" fontId="20" fillId="0" borderId="0" xfId="1" applyNumberFormat="1" applyFont="1" applyAlignment="1">
      <alignment horizontal="right" vertical="center"/>
    </xf>
    <xf numFmtId="0" fontId="20" fillId="0" borderId="0" xfId="1" applyFont="1" applyAlignment="1">
      <alignment horizontal="left" vertical="center"/>
    </xf>
    <xf numFmtId="49" fontId="20" fillId="0" borderId="0" xfId="1" applyNumberFormat="1" applyFont="1" applyAlignment="1">
      <alignment horizontal="left" vertical="center"/>
    </xf>
    <xf numFmtId="49" fontId="19" fillId="2" borderId="7" xfId="1" applyNumberFormat="1" applyFont="1" applyFill="1" applyBorder="1" applyAlignment="1">
      <alignment horizontal="right" vertical="center"/>
    </xf>
    <xf numFmtId="164" fontId="19" fillId="2" borderId="7" xfId="1" applyNumberFormat="1" applyFont="1" applyFill="1" applyBorder="1" applyAlignment="1">
      <alignment horizontal="right" vertical="center"/>
    </xf>
    <xf numFmtId="49" fontId="19" fillId="2" borderId="7" xfId="1" applyNumberFormat="1" applyFont="1" applyFill="1" applyBorder="1" applyAlignment="1">
      <alignment horizontal="left" vertical="center"/>
    </xf>
    <xf numFmtId="0" fontId="19" fillId="2" borderId="7" xfId="1" applyFont="1" applyFill="1" applyBorder="1" applyAlignment="1">
      <alignment horizontal="left" vertical="center"/>
    </xf>
    <xf numFmtId="49" fontId="19" fillId="2" borderId="7" xfId="1" applyNumberFormat="1" applyFont="1" applyFill="1" applyBorder="1" applyAlignment="1">
      <alignment horizontal="left" vertical="center"/>
    </xf>
    <xf numFmtId="0" fontId="17" fillId="0" borderId="27" xfId="1" applyFont="1" applyBorder="1" applyAlignment="1">
      <alignment vertical="center"/>
    </xf>
    <xf numFmtId="49" fontId="22" fillId="0" borderId="28" xfId="1" applyNumberFormat="1" applyFont="1" applyBorder="1" applyAlignment="1">
      <alignment horizontal="left" vertical="center"/>
    </xf>
    <xf numFmtId="49" fontId="22" fillId="0" borderId="32" xfId="1" applyNumberFormat="1" applyFont="1" applyBorder="1" applyAlignment="1">
      <alignment horizontal="right" vertical="center"/>
    </xf>
    <xf numFmtId="49" fontId="22" fillId="0" borderId="32" xfId="1" applyNumberFormat="1" applyFont="1" applyBorder="1" applyAlignment="1">
      <alignment horizontal="left" vertical="center"/>
    </xf>
    <xf numFmtId="0" fontId="22" fillId="0" borderId="31" xfId="1" applyFont="1" applyBorder="1" applyAlignment="1">
      <alignment horizontal="left" vertical="center"/>
    </xf>
    <xf numFmtId="49" fontId="22" fillId="0" borderId="30" xfId="1" applyNumberFormat="1" applyFont="1" applyBorder="1" applyAlignment="1">
      <alignment horizontal="left" vertical="center"/>
    </xf>
    <xf numFmtId="49" fontId="22" fillId="0" borderId="29" xfId="1" applyNumberFormat="1" applyFont="1" applyBorder="1" applyAlignment="1">
      <alignment horizontal="left" vertical="center"/>
    </xf>
    <xf numFmtId="0" fontId="17" fillId="0" borderId="3" xfId="1" applyFont="1" applyBorder="1" applyAlignment="1">
      <alignment vertical="center"/>
    </xf>
    <xf numFmtId="0" fontId="17" fillId="0" borderId="14" xfId="1" applyFont="1" applyBorder="1" applyAlignment="1">
      <alignment horizontal="left" vertical="center"/>
    </xf>
    <xf numFmtId="0" fontId="17" fillId="0" borderId="9" xfId="1" applyFont="1" applyBorder="1" applyAlignment="1">
      <alignment horizontal="left" vertical="center"/>
    </xf>
    <xf numFmtId="0" fontId="17" fillId="0" borderId="4" xfId="1" applyFont="1" applyBorder="1" applyAlignment="1">
      <alignment horizontal="left" vertical="center"/>
    </xf>
    <xf numFmtId="0" fontId="17" fillId="0" borderId="24" xfId="1" applyFont="1" applyBorder="1" applyAlignment="1">
      <alignment horizontal="left" vertical="center"/>
    </xf>
    <xf numFmtId="14" fontId="17" fillId="0" borderId="0" xfId="1" applyNumberFormat="1" applyFont="1" applyAlignment="1">
      <alignment horizontal="left" vertical="center" wrapText="1"/>
    </xf>
    <xf numFmtId="0" fontId="17" fillId="0" borderId="3" xfId="1" applyFont="1" applyBorder="1" applyAlignment="1">
      <alignment horizontal="left" vertical="center" wrapText="1"/>
    </xf>
    <xf numFmtId="0" fontId="17" fillId="0" borderId="3" xfId="1" applyFont="1" applyBorder="1" applyAlignment="1">
      <alignment horizontal="left" vertical="center"/>
    </xf>
    <xf numFmtId="0" fontId="22" fillId="0" borderId="0" xfId="1" applyFont="1" applyAlignment="1">
      <alignment horizontal="left" vertical="center"/>
    </xf>
    <xf numFmtId="0" fontId="17" fillId="0" borderId="23" xfId="1" applyFont="1" applyBorder="1" applyAlignment="1">
      <alignment horizontal="left" vertical="center"/>
    </xf>
    <xf numFmtId="0" fontId="17" fillId="0" borderId="8" xfId="1" applyFont="1" applyBorder="1" applyAlignment="1">
      <alignment horizontal="left" vertical="center"/>
    </xf>
    <xf numFmtId="0" fontId="17" fillId="0" borderId="8" xfId="1" applyFont="1" applyBorder="1" applyAlignment="1">
      <alignment horizontal="left" vertical="center" wrapText="1"/>
    </xf>
    <xf numFmtId="0" fontId="22" fillId="0" borderId="8" xfId="1" applyFont="1" applyBorder="1" applyAlignment="1">
      <alignment horizontal="left" vertical="center"/>
    </xf>
    <xf numFmtId="0" fontId="22" fillId="0" borderId="8" xfId="1" applyFont="1" applyBorder="1" applyAlignment="1">
      <alignment horizontal="left" vertical="center" wrapText="1"/>
    </xf>
    <xf numFmtId="0" fontId="17" fillId="0" borderId="2" xfId="1" applyFont="1" applyBorder="1" applyAlignment="1">
      <alignment horizontal="left" vertical="center" wrapText="1"/>
    </xf>
    <xf numFmtId="0" fontId="23" fillId="0" borderId="1" xfId="1" applyFont="1" applyBorder="1" applyAlignment="1">
      <alignment horizontal="center" vertical="center"/>
    </xf>
    <xf numFmtId="49" fontId="23" fillId="0" borderId="1" xfId="1" applyNumberFormat="1" applyFont="1" applyBorder="1" applyAlignment="1">
      <alignment horizontal="center"/>
    </xf>
  </cellXfs>
  <cellStyles count="2">
    <cellStyle name="Normální" xfId="0" builtinId="0"/>
    <cellStyle name="Normální 2" xfId="1" xr:uid="{48070C30-8D03-4883-A76C-68C87B27FBE1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000000"/>
      <rgbColor rgb="00000000"/>
      <rgbColor rgb="00DBDBDB"/>
      <rgbColor rgb="00000000"/>
      <rgbColor rgb="00C0C0C0"/>
      <rgbColor rgb="00000000"/>
      <rgbColor rgb="00C0C0C0"/>
      <rgbColor rgb="00000000"/>
      <rgbColor rgb="00000000"/>
      <rgbColor rgb="00000000"/>
      <rgbColor rgb="00000000"/>
      <rgbColor rgb="00000000"/>
      <rgbColor rgb="0000000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285750</xdr:colOff>
      <xdr:row>0</xdr:row>
      <xdr:rowOff>885825</xdr:rowOff>
    </xdr:to>
    <xdr:pic>
      <xdr:nvPicPr>
        <xdr:cNvPr id="4097" name="Picture 1">
          <a:extLst>
            <a:ext uri="{FF2B5EF4-FFF2-40B4-BE49-F238E27FC236}">
              <a16:creationId xmlns:a16="http://schemas.microsoft.com/office/drawing/2014/main" id="{00000000-0008-0000-0000-00000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95350" cy="88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866775</xdr:colOff>
      <xdr:row>0</xdr:row>
      <xdr:rowOff>885825</xdr:rowOff>
    </xdr:to>
    <xdr:pic>
      <xdr:nvPicPr>
        <xdr:cNvPr id="2049" name="Picture 1">
          <a:extLst>
            <a:ext uri="{FF2B5EF4-FFF2-40B4-BE49-F238E27FC236}">
              <a16:creationId xmlns:a16="http://schemas.microsoft.com/office/drawing/2014/main" id="{00000000-0008-0000-01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8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657225</xdr:colOff>
      <xdr:row>0</xdr:row>
      <xdr:rowOff>885825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00000000-0008-0000-02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04875" cy="88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tankova\AppData\Local\Microsoft\Windows\INetCache\Content.Outlook\AFE0F6RU\Plou&#382;nice-chodn&#237;ky-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 rozpočtu"/>
      <sheetName val="Stavební rozpočet - součet"/>
      <sheetName val="Stavební rozpočet"/>
    </sheetNames>
    <sheetDataSet>
      <sheetData sheetId="0"/>
      <sheetData sheetId="1"/>
      <sheetData sheetId="2">
        <row r="2">
          <cell r="D2" t="str">
            <v>Ralsko-Ploužnice: Oprava komunikace pro pěší u č.p.332-337</v>
          </cell>
          <cell r="I2" t="str">
            <v> </v>
          </cell>
        </row>
        <row r="4">
          <cell r="D4" t="str">
            <v xml:space="preserve"> </v>
          </cell>
          <cell r="I4" t="str">
            <v> </v>
          </cell>
        </row>
        <row r="6">
          <cell r="D6" t="str">
            <v xml:space="preserve"> </v>
          </cell>
        </row>
        <row r="8">
          <cell r="I8" t="str">
            <v> </v>
          </cell>
        </row>
      </sheetData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7"/>
  <sheetViews>
    <sheetView workbookViewId="0">
      <selection activeCell="A2" sqref="A2:B3"/>
    </sheetView>
  </sheetViews>
  <sheetFormatPr defaultColWidth="11.5546875" defaultRowHeight="13.2" x14ac:dyDescent="0.25"/>
  <cols>
    <col min="1" max="1" width="9.109375" customWidth="1"/>
    <col min="2" max="2" width="12.88671875" customWidth="1"/>
    <col min="3" max="3" width="22.88671875" customWidth="1"/>
    <col min="4" max="4" width="10" customWidth="1"/>
    <col min="5" max="5" width="14" customWidth="1"/>
    <col min="6" max="6" width="22.88671875" customWidth="1"/>
    <col min="7" max="7" width="9.109375" customWidth="1"/>
    <col min="8" max="8" width="12.88671875" customWidth="1"/>
    <col min="9" max="9" width="22.88671875" customWidth="1"/>
  </cols>
  <sheetData>
    <row r="1" spans="1:10" ht="72.900000000000006" customHeight="1" x14ac:dyDescent="0.25">
      <c r="A1" s="62"/>
      <c r="B1" s="45"/>
      <c r="C1" s="63" t="s">
        <v>206</v>
      </c>
      <c r="D1" s="64"/>
      <c r="E1" s="64"/>
      <c r="F1" s="64"/>
      <c r="G1" s="64"/>
      <c r="H1" s="64"/>
      <c r="I1" s="64"/>
    </row>
    <row r="2" spans="1:10" x14ac:dyDescent="0.25">
      <c r="A2" s="65" t="s">
        <v>1</v>
      </c>
      <c r="B2" s="66"/>
      <c r="C2" s="69" t="str">
        <f>'Stavební rozpočet'!C2</f>
        <v>Oprava komunikace pro pěší u č.p.332-337, Ralsko-Ploužnice</v>
      </c>
      <c r="D2" s="70"/>
      <c r="E2" s="72" t="s">
        <v>138</v>
      </c>
      <c r="F2" s="72" t="str">
        <f>'Stavební rozpočet'!I2</f>
        <v> </v>
      </c>
      <c r="G2" s="66"/>
      <c r="H2" s="72" t="s">
        <v>231</v>
      </c>
      <c r="I2" s="73"/>
      <c r="J2" s="31"/>
    </row>
    <row r="3" spans="1:10" x14ac:dyDescent="0.25">
      <c r="A3" s="67"/>
      <c r="B3" s="68"/>
      <c r="C3" s="71"/>
      <c r="D3" s="71"/>
      <c r="E3" s="68"/>
      <c r="F3" s="68"/>
      <c r="G3" s="68"/>
      <c r="H3" s="68"/>
      <c r="I3" s="74"/>
      <c r="J3" s="31"/>
    </row>
    <row r="4" spans="1:10" x14ac:dyDescent="0.25">
      <c r="A4" s="76" t="s">
        <v>2</v>
      </c>
      <c r="B4" s="68"/>
      <c r="C4" s="77" t="str">
        <f>'Stavební rozpočet'!C4</f>
        <v xml:space="preserve"> </v>
      </c>
      <c r="D4" s="68"/>
      <c r="E4" s="77" t="s">
        <v>139</v>
      </c>
      <c r="F4" s="77" t="str">
        <f>'Stavební rozpočet'!I4</f>
        <v> </v>
      </c>
      <c r="G4" s="68"/>
      <c r="H4" s="77" t="s">
        <v>231</v>
      </c>
      <c r="I4" s="75"/>
      <c r="J4" s="31"/>
    </row>
    <row r="5" spans="1:10" x14ac:dyDescent="0.25">
      <c r="A5" s="67"/>
      <c r="B5" s="68"/>
      <c r="C5" s="68"/>
      <c r="D5" s="68"/>
      <c r="E5" s="68"/>
      <c r="F5" s="68"/>
      <c r="G5" s="68"/>
      <c r="H5" s="68"/>
      <c r="I5" s="74"/>
      <c r="J5" s="31"/>
    </row>
    <row r="6" spans="1:10" x14ac:dyDescent="0.25">
      <c r="A6" s="76" t="s">
        <v>3</v>
      </c>
      <c r="B6" s="68"/>
      <c r="C6" s="77" t="str">
        <f>'Stavební rozpočet'!C6</f>
        <v xml:space="preserve"> </v>
      </c>
      <c r="D6" s="68"/>
      <c r="E6" s="77" t="s">
        <v>140</v>
      </c>
      <c r="F6" s="77" t="str">
        <f>'Stavební rozpočet'!I6</f>
        <v> </v>
      </c>
      <c r="G6" s="68"/>
      <c r="H6" s="77" t="s">
        <v>231</v>
      </c>
      <c r="I6" s="75"/>
      <c r="J6" s="31"/>
    </row>
    <row r="7" spans="1:10" x14ac:dyDescent="0.25">
      <c r="A7" s="67"/>
      <c r="B7" s="68"/>
      <c r="C7" s="68"/>
      <c r="D7" s="68"/>
      <c r="E7" s="68"/>
      <c r="F7" s="68"/>
      <c r="G7" s="68"/>
      <c r="H7" s="68"/>
      <c r="I7" s="74"/>
      <c r="J7" s="31"/>
    </row>
    <row r="8" spans="1:10" x14ac:dyDescent="0.25">
      <c r="A8" s="76" t="s">
        <v>128</v>
      </c>
      <c r="B8" s="68"/>
      <c r="C8" s="77"/>
      <c r="D8" s="68"/>
      <c r="E8" s="77" t="s">
        <v>129</v>
      </c>
      <c r="F8" s="77"/>
      <c r="G8" s="68"/>
      <c r="H8" s="80" t="s">
        <v>232</v>
      </c>
      <c r="I8" s="75" t="s">
        <v>38</v>
      </c>
      <c r="J8" s="31"/>
    </row>
    <row r="9" spans="1:10" x14ac:dyDescent="0.25">
      <c r="A9" s="67"/>
      <c r="B9" s="68"/>
      <c r="C9" s="68"/>
      <c r="D9" s="68"/>
      <c r="E9" s="68"/>
      <c r="F9" s="68"/>
      <c r="G9" s="68"/>
      <c r="H9" s="68"/>
      <c r="I9" s="74"/>
      <c r="J9" s="31"/>
    </row>
    <row r="10" spans="1:10" x14ac:dyDescent="0.25">
      <c r="A10" s="76" t="s">
        <v>4</v>
      </c>
      <c r="B10" s="68"/>
      <c r="C10" s="77" t="str">
        <f>'Stavební rozpočet'!C8</f>
        <v xml:space="preserve"> </v>
      </c>
      <c r="D10" s="68"/>
      <c r="E10" s="77" t="s">
        <v>141</v>
      </c>
      <c r="F10" s="77" t="str">
        <f>'Stavební rozpočet'!I8</f>
        <v> </v>
      </c>
      <c r="G10" s="68"/>
      <c r="H10" s="80" t="s">
        <v>233</v>
      </c>
      <c r="I10" s="78"/>
      <c r="J10" s="31"/>
    </row>
    <row r="11" spans="1:10" x14ac:dyDescent="0.25">
      <c r="A11" s="81"/>
      <c r="B11" s="82"/>
      <c r="C11" s="82"/>
      <c r="D11" s="82"/>
      <c r="E11" s="82"/>
      <c r="F11" s="82"/>
      <c r="G11" s="82"/>
      <c r="H11" s="82"/>
      <c r="I11" s="79"/>
      <c r="J11" s="31"/>
    </row>
    <row r="12" spans="1:10" ht="23.4" customHeight="1" x14ac:dyDescent="0.25">
      <c r="A12" s="83" t="s">
        <v>191</v>
      </c>
      <c r="B12" s="84"/>
      <c r="C12" s="84"/>
      <c r="D12" s="84"/>
      <c r="E12" s="84"/>
      <c r="F12" s="84"/>
      <c r="G12" s="84"/>
      <c r="H12" s="84"/>
      <c r="I12" s="84"/>
    </row>
    <row r="13" spans="1:10" ht="26.4" customHeight="1" x14ac:dyDescent="0.25">
      <c r="A13" s="46" t="s">
        <v>192</v>
      </c>
      <c r="B13" s="85" t="s">
        <v>204</v>
      </c>
      <c r="C13" s="86"/>
      <c r="D13" s="46" t="s">
        <v>207</v>
      </c>
      <c r="E13" s="85" t="s">
        <v>217</v>
      </c>
      <c r="F13" s="86"/>
      <c r="G13" s="46" t="s">
        <v>218</v>
      </c>
      <c r="H13" s="85" t="s">
        <v>234</v>
      </c>
      <c r="I13" s="86"/>
      <c r="J13" s="31"/>
    </row>
    <row r="14" spans="1:10" ht="15.15" customHeight="1" x14ac:dyDescent="0.25">
      <c r="A14" s="47" t="s">
        <v>193</v>
      </c>
      <c r="B14" s="51" t="s">
        <v>205</v>
      </c>
      <c r="C14" s="55">
        <f>SUM('Stavební rozpočet'!AB12:AB56)</f>
        <v>0</v>
      </c>
      <c r="D14" s="87" t="s">
        <v>208</v>
      </c>
      <c r="E14" s="88"/>
      <c r="F14" s="55">
        <v>0</v>
      </c>
      <c r="G14" s="87" t="s">
        <v>124</v>
      </c>
      <c r="H14" s="88"/>
      <c r="I14" s="55">
        <v>0</v>
      </c>
      <c r="J14" s="31"/>
    </row>
    <row r="15" spans="1:10" ht="15.15" customHeight="1" x14ac:dyDescent="0.25">
      <c r="A15" s="48"/>
      <c r="B15" s="51" t="s">
        <v>148</v>
      </c>
      <c r="C15" s="55">
        <f>SUM('Stavební rozpočet'!AC12:AC56)</f>
        <v>0</v>
      </c>
      <c r="D15" s="87" t="s">
        <v>209</v>
      </c>
      <c r="E15" s="88"/>
      <c r="F15" s="55">
        <v>0</v>
      </c>
      <c r="G15" s="87" t="s">
        <v>219</v>
      </c>
      <c r="H15" s="88"/>
      <c r="I15" s="55">
        <v>0</v>
      </c>
      <c r="J15" s="31"/>
    </row>
    <row r="16" spans="1:10" ht="15.15" customHeight="1" x14ac:dyDescent="0.25">
      <c r="A16" s="47" t="s">
        <v>194</v>
      </c>
      <c r="B16" s="51" t="s">
        <v>205</v>
      </c>
      <c r="C16" s="55">
        <f>SUM('Stavební rozpočet'!AD12:AD56)</f>
        <v>0</v>
      </c>
      <c r="D16" s="87" t="s">
        <v>210</v>
      </c>
      <c r="E16" s="88"/>
      <c r="F16" s="55">
        <v>0</v>
      </c>
      <c r="G16" s="87" t="s">
        <v>220</v>
      </c>
      <c r="H16" s="88"/>
      <c r="I16" s="55">
        <v>0</v>
      </c>
      <c r="J16" s="31"/>
    </row>
    <row r="17" spans="1:10" ht="15.15" customHeight="1" x14ac:dyDescent="0.25">
      <c r="A17" s="48"/>
      <c r="B17" s="51" t="s">
        <v>148</v>
      </c>
      <c r="C17" s="55">
        <f>SUM('Stavební rozpočet'!AE12:AE56)</f>
        <v>0</v>
      </c>
      <c r="D17" s="87" t="s">
        <v>211</v>
      </c>
      <c r="E17" s="88"/>
      <c r="F17" s="55">
        <v>0</v>
      </c>
      <c r="G17" s="87" t="s">
        <v>221</v>
      </c>
      <c r="H17" s="88"/>
      <c r="I17" s="55">
        <v>0</v>
      </c>
      <c r="J17" s="31"/>
    </row>
    <row r="18" spans="1:10" ht="15.15" customHeight="1" x14ac:dyDescent="0.25">
      <c r="A18" s="47" t="s">
        <v>195</v>
      </c>
      <c r="B18" s="51" t="s">
        <v>205</v>
      </c>
      <c r="C18" s="55">
        <f>SUM('Stavební rozpočet'!AF12:AF56)</f>
        <v>0</v>
      </c>
      <c r="D18" s="87"/>
      <c r="E18" s="88"/>
      <c r="F18" s="56"/>
      <c r="G18" s="87" t="s">
        <v>222</v>
      </c>
      <c r="H18" s="88"/>
      <c r="I18" s="55">
        <v>0</v>
      </c>
      <c r="J18" s="31"/>
    </row>
    <row r="19" spans="1:10" ht="15.15" customHeight="1" x14ac:dyDescent="0.25">
      <c r="A19" s="48"/>
      <c r="B19" s="51" t="s">
        <v>148</v>
      </c>
      <c r="C19" s="55">
        <f>SUM('Stavební rozpočet'!AG12:AG56)</f>
        <v>0</v>
      </c>
      <c r="D19" s="87"/>
      <c r="E19" s="88"/>
      <c r="F19" s="56"/>
      <c r="G19" s="87" t="s">
        <v>223</v>
      </c>
      <c r="H19" s="88"/>
      <c r="I19" s="55">
        <v>0</v>
      </c>
      <c r="J19" s="31"/>
    </row>
    <row r="20" spans="1:10" ht="15.15" customHeight="1" x14ac:dyDescent="0.25">
      <c r="A20" s="89" t="s">
        <v>196</v>
      </c>
      <c r="B20" s="90"/>
      <c r="C20" s="55">
        <f>SUM('Stavební rozpočet'!AH12:AH56)</f>
        <v>0</v>
      </c>
      <c r="D20" s="87"/>
      <c r="E20" s="88"/>
      <c r="F20" s="56"/>
      <c r="G20" s="87"/>
      <c r="H20" s="88"/>
      <c r="I20" s="56"/>
      <c r="J20" s="31"/>
    </row>
    <row r="21" spans="1:10" ht="15.15" customHeight="1" x14ac:dyDescent="0.25">
      <c r="A21" s="89" t="s">
        <v>197</v>
      </c>
      <c r="B21" s="90"/>
      <c r="C21" s="55">
        <f>SUM('Stavební rozpočet'!Z12:Z56)</f>
        <v>0</v>
      </c>
      <c r="D21" s="87"/>
      <c r="E21" s="88"/>
      <c r="F21" s="56"/>
      <c r="G21" s="87"/>
      <c r="H21" s="88"/>
      <c r="I21" s="56"/>
      <c r="J21" s="31"/>
    </row>
    <row r="22" spans="1:10" ht="16.649999999999999" customHeight="1" x14ac:dyDescent="0.25">
      <c r="A22" s="89" t="s">
        <v>198</v>
      </c>
      <c r="B22" s="90"/>
      <c r="C22" s="55">
        <f>SUM(C14:C21)</f>
        <v>0</v>
      </c>
      <c r="D22" s="89" t="s">
        <v>212</v>
      </c>
      <c r="E22" s="90"/>
      <c r="F22" s="55">
        <f>SUM(F14:F21)</f>
        <v>0</v>
      </c>
      <c r="G22" s="89" t="s">
        <v>224</v>
      </c>
      <c r="H22" s="90"/>
      <c r="I22" s="55">
        <f>SUM(I14:I21)</f>
        <v>0</v>
      </c>
      <c r="J22" s="31"/>
    </row>
    <row r="23" spans="1:10" ht="15.15" customHeight="1" x14ac:dyDescent="0.25">
      <c r="A23" s="8"/>
      <c r="B23" s="8"/>
      <c r="C23" s="53"/>
      <c r="D23" s="89" t="s">
        <v>213</v>
      </c>
      <c r="E23" s="90"/>
      <c r="F23" s="57">
        <v>0</v>
      </c>
      <c r="G23" s="89" t="s">
        <v>225</v>
      </c>
      <c r="H23" s="90"/>
      <c r="I23" s="55">
        <v>0</v>
      </c>
      <c r="J23" s="31"/>
    </row>
    <row r="24" spans="1:10" ht="15.15" customHeight="1" x14ac:dyDescent="0.25">
      <c r="D24" s="8"/>
      <c r="E24" s="8"/>
      <c r="F24" s="58"/>
      <c r="G24" s="89" t="s">
        <v>226</v>
      </c>
      <c r="H24" s="90"/>
      <c r="I24" s="60"/>
    </row>
    <row r="25" spans="1:10" ht="15.15" customHeight="1" x14ac:dyDescent="0.25">
      <c r="F25" s="59"/>
      <c r="G25" s="89" t="s">
        <v>227</v>
      </c>
      <c r="H25" s="90"/>
      <c r="I25" s="55">
        <v>0</v>
      </c>
      <c r="J25" s="31"/>
    </row>
    <row r="26" spans="1:10" x14ac:dyDescent="0.25">
      <c r="A26" s="45"/>
      <c r="B26" s="45"/>
      <c r="C26" s="45"/>
      <c r="G26" s="8"/>
      <c r="H26" s="8"/>
      <c r="I26" s="8"/>
    </row>
    <row r="27" spans="1:10" ht="15.15" customHeight="1" x14ac:dyDescent="0.25">
      <c r="A27" s="91" t="s">
        <v>199</v>
      </c>
      <c r="B27" s="92"/>
      <c r="C27" s="61">
        <f>SUM('Stavební rozpočet'!AJ12:AJ56)</f>
        <v>0</v>
      </c>
      <c r="D27" s="54"/>
      <c r="E27" s="45"/>
      <c r="F27" s="45"/>
      <c r="G27" s="45"/>
      <c r="H27" s="45"/>
      <c r="I27" s="45"/>
    </row>
    <row r="28" spans="1:10" ht="15.15" customHeight="1" x14ac:dyDescent="0.25">
      <c r="A28" s="91" t="s">
        <v>200</v>
      </c>
      <c r="B28" s="92"/>
      <c r="C28" s="61">
        <f>SUM('Stavební rozpočet'!AK12:AK56)</f>
        <v>0</v>
      </c>
      <c r="D28" s="91" t="s">
        <v>214</v>
      </c>
      <c r="E28" s="92"/>
      <c r="F28" s="61">
        <f>ROUND(C28*(15/100),2)</f>
        <v>0</v>
      </c>
      <c r="G28" s="91" t="s">
        <v>228</v>
      </c>
      <c r="H28" s="92"/>
      <c r="I28" s="61">
        <f>SUM(C27:C29)</f>
        <v>0</v>
      </c>
      <c r="J28" s="31"/>
    </row>
    <row r="29" spans="1:10" ht="15.15" customHeight="1" x14ac:dyDescent="0.25">
      <c r="A29" s="91" t="s">
        <v>201</v>
      </c>
      <c r="B29" s="92"/>
      <c r="C29" s="61">
        <f>SUM('Stavební rozpočet'!AL12:AL56)+(F22+I22+F23+I23+I24+I25)</f>
        <v>0</v>
      </c>
      <c r="D29" s="91" t="s">
        <v>215</v>
      </c>
      <c r="E29" s="92"/>
      <c r="F29" s="61">
        <f>ROUND(C29*(21/100),2)</f>
        <v>0</v>
      </c>
      <c r="G29" s="91" t="s">
        <v>229</v>
      </c>
      <c r="H29" s="92"/>
      <c r="I29" s="61">
        <f>SUM(F28:F29)+I28</f>
        <v>0</v>
      </c>
      <c r="J29" s="31"/>
    </row>
    <row r="30" spans="1:10" x14ac:dyDescent="0.25">
      <c r="A30" s="49"/>
      <c r="B30" s="49"/>
      <c r="C30" s="49"/>
      <c r="D30" s="49"/>
      <c r="E30" s="49"/>
      <c r="F30" s="49"/>
      <c r="G30" s="49"/>
      <c r="H30" s="49"/>
      <c r="I30" s="49"/>
    </row>
    <row r="31" spans="1:10" ht="14.4" customHeight="1" x14ac:dyDescent="0.25">
      <c r="A31" s="93" t="s">
        <v>202</v>
      </c>
      <c r="B31" s="94"/>
      <c r="C31" s="95"/>
      <c r="D31" s="93" t="s">
        <v>216</v>
      </c>
      <c r="E31" s="94"/>
      <c r="F31" s="95"/>
      <c r="G31" s="93" t="s">
        <v>230</v>
      </c>
      <c r="H31" s="94"/>
      <c r="I31" s="95"/>
      <c r="J31" s="32"/>
    </row>
    <row r="32" spans="1:10" ht="14.4" customHeight="1" x14ac:dyDescent="0.25">
      <c r="A32" s="96"/>
      <c r="B32" s="97"/>
      <c r="C32" s="98"/>
      <c r="D32" s="96"/>
      <c r="E32" s="97"/>
      <c r="F32" s="98"/>
      <c r="G32" s="96"/>
      <c r="H32" s="97"/>
      <c r="I32" s="98"/>
      <c r="J32" s="32"/>
    </row>
    <row r="33" spans="1:10" ht="14.4" customHeight="1" x14ac:dyDescent="0.25">
      <c r="A33" s="96"/>
      <c r="B33" s="97"/>
      <c r="C33" s="98"/>
      <c r="D33" s="96"/>
      <c r="E33" s="97"/>
      <c r="F33" s="98"/>
      <c r="G33" s="96"/>
      <c r="H33" s="97"/>
      <c r="I33" s="98"/>
      <c r="J33" s="32"/>
    </row>
    <row r="34" spans="1:10" ht="14.4" customHeight="1" x14ac:dyDescent="0.25">
      <c r="A34" s="96"/>
      <c r="B34" s="97"/>
      <c r="C34" s="98"/>
      <c r="D34" s="96"/>
      <c r="E34" s="97"/>
      <c r="F34" s="98"/>
      <c r="G34" s="96"/>
      <c r="H34" s="97"/>
      <c r="I34" s="98"/>
      <c r="J34" s="32"/>
    </row>
    <row r="35" spans="1:10" ht="14.4" customHeight="1" x14ac:dyDescent="0.25">
      <c r="A35" s="99" t="s">
        <v>203</v>
      </c>
      <c r="B35" s="100"/>
      <c r="C35" s="101"/>
      <c r="D35" s="99" t="s">
        <v>203</v>
      </c>
      <c r="E35" s="100"/>
      <c r="F35" s="101"/>
      <c r="G35" s="99" t="s">
        <v>203</v>
      </c>
      <c r="H35" s="100"/>
      <c r="I35" s="101"/>
      <c r="J35" s="32"/>
    </row>
    <row r="36" spans="1:10" ht="11.25" customHeight="1" x14ac:dyDescent="0.25">
      <c r="A36" s="50" t="s">
        <v>39</v>
      </c>
      <c r="B36" s="52"/>
      <c r="C36" s="52"/>
      <c r="D36" s="52"/>
      <c r="E36" s="52"/>
      <c r="F36" s="52"/>
      <c r="G36" s="52"/>
      <c r="H36" s="52"/>
      <c r="I36" s="52"/>
    </row>
    <row r="37" spans="1:10" x14ac:dyDescent="0.25">
      <c r="A37" s="77"/>
      <c r="B37" s="68"/>
      <c r="C37" s="68"/>
      <c r="D37" s="68"/>
      <c r="E37" s="68"/>
      <c r="F37" s="68"/>
      <c r="G37" s="68"/>
      <c r="H37" s="68"/>
      <c r="I37" s="68"/>
    </row>
  </sheetData>
  <mergeCells count="83">
    <mergeCell ref="A37:I37"/>
    <mergeCell ref="A34:C34"/>
    <mergeCell ref="D34:F34"/>
    <mergeCell ref="G34:I34"/>
    <mergeCell ref="A35:C35"/>
    <mergeCell ref="D35:F35"/>
    <mergeCell ref="G35:I35"/>
    <mergeCell ref="A32:C32"/>
    <mergeCell ref="D32:F32"/>
    <mergeCell ref="G32:I32"/>
    <mergeCell ref="A33:C33"/>
    <mergeCell ref="D33:F33"/>
    <mergeCell ref="G33:I33"/>
    <mergeCell ref="A29:B29"/>
    <mergeCell ref="D29:E29"/>
    <mergeCell ref="G29:H29"/>
    <mergeCell ref="A31:C31"/>
    <mergeCell ref="D31:F31"/>
    <mergeCell ref="G31:I31"/>
    <mergeCell ref="A28:B28"/>
    <mergeCell ref="D28:E28"/>
    <mergeCell ref="G28:H28"/>
    <mergeCell ref="A21:B21"/>
    <mergeCell ref="D21:E21"/>
    <mergeCell ref="G21:H21"/>
    <mergeCell ref="A22:B22"/>
    <mergeCell ref="D22:E22"/>
    <mergeCell ref="G22:H22"/>
    <mergeCell ref="D23:E23"/>
    <mergeCell ref="G23:H23"/>
    <mergeCell ref="G24:H24"/>
    <mergeCell ref="G25:H25"/>
    <mergeCell ref="A27:B27"/>
    <mergeCell ref="D18:E18"/>
    <mergeCell ref="G18:H18"/>
    <mergeCell ref="D19:E19"/>
    <mergeCell ref="G19:H19"/>
    <mergeCell ref="A20:B20"/>
    <mergeCell ref="D20:E20"/>
    <mergeCell ref="G20:H20"/>
    <mergeCell ref="D15:E15"/>
    <mergeCell ref="G15:H15"/>
    <mergeCell ref="D16:E16"/>
    <mergeCell ref="G16:H16"/>
    <mergeCell ref="D17:E17"/>
    <mergeCell ref="G17:H17"/>
    <mergeCell ref="A12:I12"/>
    <mergeCell ref="B13:C13"/>
    <mergeCell ref="E13:F13"/>
    <mergeCell ref="H13:I13"/>
    <mergeCell ref="D14:E14"/>
    <mergeCell ref="G14:H14"/>
    <mergeCell ref="I10:I11"/>
    <mergeCell ref="A8:B9"/>
    <mergeCell ref="C8:D9"/>
    <mergeCell ref="E8:E9"/>
    <mergeCell ref="F8:G9"/>
    <mergeCell ref="H8:H9"/>
    <mergeCell ref="I8:I9"/>
    <mergeCell ref="A10:B11"/>
    <mergeCell ref="C10:D11"/>
    <mergeCell ref="E10:E11"/>
    <mergeCell ref="F10:G11"/>
    <mergeCell ref="H10:H11"/>
    <mergeCell ref="I6:I7"/>
    <mergeCell ref="A4:B5"/>
    <mergeCell ref="C4:D5"/>
    <mergeCell ref="E4:E5"/>
    <mergeCell ref="F4:G5"/>
    <mergeCell ref="H4:H5"/>
    <mergeCell ref="I4:I5"/>
    <mergeCell ref="A6:B7"/>
    <mergeCell ref="C6:D7"/>
    <mergeCell ref="E6:E7"/>
    <mergeCell ref="F6:G7"/>
    <mergeCell ref="H6:H7"/>
    <mergeCell ref="C1:I1"/>
    <mergeCell ref="A2:B3"/>
    <mergeCell ref="C2:D3"/>
    <mergeCell ref="E2:E3"/>
    <mergeCell ref="F2:G3"/>
    <mergeCell ref="H2:H3"/>
    <mergeCell ref="I2:I3"/>
  </mergeCells>
  <pageMargins left="0.39400000000000002" right="0.39400000000000002" top="0.59099999999999997" bottom="0.59099999999999997" header="0.5" footer="0.5"/>
  <pageSetup paperSize="0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25"/>
  <sheetViews>
    <sheetView workbookViewId="0">
      <pane ySplit="10" topLeftCell="A11" activePane="bottomLeft" state="frozenSplit"/>
      <selection pane="bottomLeft" activeCell="A2" sqref="A2:A3"/>
    </sheetView>
  </sheetViews>
  <sheetFormatPr defaultColWidth="11.5546875" defaultRowHeight="13.2" x14ac:dyDescent="0.25"/>
  <cols>
    <col min="1" max="2" width="16.5546875" customWidth="1"/>
    <col min="3" max="3" width="41.6640625" customWidth="1"/>
    <col min="4" max="4" width="27.88671875" customWidth="1"/>
    <col min="5" max="5" width="22.109375" hidden="1" customWidth="1"/>
    <col min="6" max="6" width="21" hidden="1" customWidth="1"/>
    <col min="7" max="7" width="20.88671875" customWidth="1"/>
    <col min="8" max="9" width="0" hidden="1" customWidth="1"/>
  </cols>
  <sheetData>
    <row r="1" spans="1:9" ht="72.900000000000006" customHeight="1" x14ac:dyDescent="0.4">
      <c r="A1" s="102" t="s">
        <v>182</v>
      </c>
      <c r="B1" s="64"/>
      <c r="C1" s="64"/>
      <c r="D1" s="64"/>
      <c r="E1" s="64"/>
      <c r="F1" s="64"/>
      <c r="G1" s="64"/>
    </row>
    <row r="2" spans="1:9" x14ac:dyDescent="0.25">
      <c r="A2" s="65" t="s">
        <v>1</v>
      </c>
      <c r="B2" s="69" t="str">
        <f>'Stavební rozpočet'!C2</f>
        <v>Oprava komunikace pro pěší u č.p.332-337, Ralsko-Ploužnice</v>
      </c>
      <c r="C2" s="70"/>
      <c r="D2" s="72" t="s">
        <v>138</v>
      </c>
      <c r="E2" s="72" t="str">
        <f>'Stavební rozpočet'!I2</f>
        <v> </v>
      </c>
      <c r="F2" s="66"/>
      <c r="G2" s="103"/>
      <c r="H2" s="31"/>
    </row>
    <row r="3" spans="1:9" x14ac:dyDescent="0.25">
      <c r="A3" s="67"/>
      <c r="B3" s="71"/>
      <c r="C3" s="71"/>
      <c r="D3" s="68"/>
      <c r="E3" s="68"/>
      <c r="F3" s="68"/>
      <c r="G3" s="74"/>
      <c r="H3" s="31"/>
    </row>
    <row r="4" spans="1:9" x14ac:dyDescent="0.25">
      <c r="A4" s="76" t="s">
        <v>2</v>
      </c>
      <c r="B4" s="77" t="str">
        <f>'Stavební rozpočet'!C4</f>
        <v xml:space="preserve"> </v>
      </c>
      <c r="C4" s="68"/>
      <c r="D4" s="77" t="s">
        <v>139</v>
      </c>
      <c r="E4" s="77" t="str">
        <f>'Stavební rozpočet'!I4</f>
        <v> </v>
      </c>
      <c r="F4" s="68"/>
      <c r="G4" s="74"/>
      <c r="H4" s="31"/>
    </row>
    <row r="5" spans="1:9" x14ac:dyDescent="0.25">
      <c r="A5" s="67"/>
      <c r="B5" s="68"/>
      <c r="C5" s="68"/>
      <c r="D5" s="68"/>
      <c r="E5" s="68"/>
      <c r="F5" s="68"/>
      <c r="G5" s="74"/>
      <c r="H5" s="31"/>
    </row>
    <row r="6" spans="1:9" x14ac:dyDescent="0.25">
      <c r="A6" s="76" t="s">
        <v>3</v>
      </c>
      <c r="B6" s="77" t="str">
        <f>'Stavební rozpočet'!C6</f>
        <v xml:space="preserve"> </v>
      </c>
      <c r="C6" s="68"/>
      <c r="D6" s="77" t="s">
        <v>140</v>
      </c>
      <c r="E6" s="77" t="str">
        <f>'Stavební rozpočet'!I6</f>
        <v> </v>
      </c>
      <c r="F6" s="68"/>
      <c r="G6" s="74"/>
      <c r="H6" s="31"/>
    </row>
    <row r="7" spans="1:9" x14ac:dyDescent="0.25">
      <c r="A7" s="67"/>
      <c r="B7" s="68"/>
      <c r="C7" s="68"/>
      <c r="D7" s="68"/>
      <c r="E7" s="68"/>
      <c r="F7" s="68"/>
      <c r="G7" s="74"/>
      <c r="H7" s="31"/>
    </row>
    <row r="8" spans="1:9" x14ac:dyDescent="0.25">
      <c r="A8" s="76" t="s">
        <v>141</v>
      </c>
      <c r="B8" s="77" t="str">
        <f>'Stavební rozpočet'!I8</f>
        <v> </v>
      </c>
      <c r="C8" s="68"/>
      <c r="D8" s="80" t="s">
        <v>130</v>
      </c>
      <c r="E8" s="77"/>
      <c r="F8" s="68"/>
      <c r="G8" s="74"/>
      <c r="H8" s="31"/>
    </row>
    <row r="9" spans="1:9" x14ac:dyDescent="0.25">
      <c r="A9" s="104"/>
      <c r="B9" s="105"/>
      <c r="C9" s="105"/>
      <c r="D9" s="105"/>
      <c r="E9" s="105"/>
      <c r="F9" s="105"/>
      <c r="G9" s="106"/>
      <c r="H9" s="31"/>
    </row>
    <row r="10" spans="1:9" x14ac:dyDescent="0.25">
      <c r="A10" s="38" t="s">
        <v>183</v>
      </c>
      <c r="B10" s="40" t="s">
        <v>40</v>
      </c>
      <c r="C10" s="107" t="s">
        <v>184</v>
      </c>
      <c r="D10" s="108"/>
      <c r="E10" s="41" t="s">
        <v>185</v>
      </c>
      <c r="F10" s="41" t="s">
        <v>186</v>
      </c>
      <c r="G10" s="41" t="s">
        <v>187</v>
      </c>
      <c r="H10" s="31"/>
    </row>
    <row r="11" spans="1:9" x14ac:dyDescent="0.25">
      <c r="A11" s="39"/>
      <c r="B11" s="39" t="s">
        <v>17</v>
      </c>
      <c r="C11" s="109" t="s">
        <v>82</v>
      </c>
      <c r="D11" s="110"/>
      <c r="E11" s="43">
        <f>'Stavební rozpočet'!I12</f>
        <v>0</v>
      </c>
      <c r="F11" s="43">
        <f>'Stavební rozpočet'!J12</f>
        <v>0</v>
      </c>
      <c r="G11" s="43">
        <f>'Stavební rozpočet'!K12</f>
        <v>0</v>
      </c>
      <c r="H11" s="33" t="s">
        <v>188</v>
      </c>
      <c r="I11" s="33">
        <f t="shared" ref="I11:I23" si="0">IF(H11="F",0,G11)</f>
        <v>0</v>
      </c>
    </row>
    <row r="12" spans="1:9" x14ac:dyDescent="0.25">
      <c r="A12" s="14"/>
      <c r="B12" s="14" t="s">
        <v>18</v>
      </c>
      <c r="C12" s="80" t="s">
        <v>87</v>
      </c>
      <c r="D12" s="68"/>
      <c r="E12" s="33">
        <f>'Stavební rozpočet'!I17</f>
        <v>0</v>
      </c>
      <c r="F12" s="33">
        <f>'Stavební rozpočet'!J17</f>
        <v>0</v>
      </c>
      <c r="G12" s="33">
        <f>'Stavební rozpočet'!K17</f>
        <v>0</v>
      </c>
      <c r="H12" s="33" t="s">
        <v>188</v>
      </c>
      <c r="I12" s="33">
        <f t="shared" si="0"/>
        <v>0</v>
      </c>
    </row>
    <row r="13" spans="1:9" x14ac:dyDescent="0.25">
      <c r="A13" s="14"/>
      <c r="B13" s="14" t="s">
        <v>19</v>
      </c>
      <c r="C13" s="80" t="s">
        <v>90</v>
      </c>
      <c r="D13" s="68"/>
      <c r="E13" s="33">
        <f>'Stavební rozpočet'!I20</f>
        <v>0</v>
      </c>
      <c r="F13" s="33">
        <f>'Stavební rozpočet'!J20</f>
        <v>0</v>
      </c>
      <c r="G13" s="33">
        <f>'Stavební rozpočet'!K20</f>
        <v>0</v>
      </c>
      <c r="H13" s="33" t="s">
        <v>188</v>
      </c>
      <c r="I13" s="33">
        <f t="shared" si="0"/>
        <v>0</v>
      </c>
    </row>
    <row r="14" spans="1:9" x14ac:dyDescent="0.25">
      <c r="A14" s="14"/>
      <c r="B14" s="14" t="s">
        <v>22</v>
      </c>
      <c r="C14" s="80" t="s">
        <v>93</v>
      </c>
      <c r="D14" s="68"/>
      <c r="E14" s="33">
        <f>'Stavební rozpočet'!I23</f>
        <v>0</v>
      </c>
      <c r="F14" s="33">
        <f>'Stavební rozpočet'!J23</f>
        <v>0</v>
      </c>
      <c r="G14" s="33">
        <f>'Stavební rozpočet'!K23</f>
        <v>0</v>
      </c>
      <c r="H14" s="33" t="s">
        <v>188</v>
      </c>
      <c r="I14" s="33">
        <f t="shared" si="0"/>
        <v>0</v>
      </c>
    </row>
    <row r="15" spans="1:9" x14ac:dyDescent="0.25">
      <c r="A15" s="14"/>
      <c r="B15" s="14" t="s">
        <v>23</v>
      </c>
      <c r="C15" s="80" t="s">
        <v>96</v>
      </c>
      <c r="D15" s="68"/>
      <c r="E15" s="33">
        <f>'Stavební rozpočet'!I26</f>
        <v>0</v>
      </c>
      <c r="F15" s="33">
        <f>'Stavební rozpočet'!J26</f>
        <v>0</v>
      </c>
      <c r="G15" s="33">
        <f>'Stavební rozpočet'!K26</f>
        <v>0</v>
      </c>
      <c r="H15" s="33" t="s">
        <v>188</v>
      </c>
      <c r="I15" s="33">
        <f t="shared" si="0"/>
        <v>0</v>
      </c>
    </row>
    <row r="16" spans="1:9" x14ac:dyDescent="0.25">
      <c r="A16" s="14"/>
      <c r="B16" s="14" t="s">
        <v>24</v>
      </c>
      <c r="C16" s="80" t="s">
        <v>98</v>
      </c>
      <c r="D16" s="68"/>
      <c r="E16" s="33">
        <f>'Stavební rozpočet'!I28</f>
        <v>0</v>
      </c>
      <c r="F16" s="33">
        <f>'Stavební rozpočet'!J28</f>
        <v>0</v>
      </c>
      <c r="G16" s="33">
        <f>'Stavební rozpočet'!K28</f>
        <v>0</v>
      </c>
      <c r="H16" s="33" t="s">
        <v>188</v>
      </c>
      <c r="I16" s="33">
        <f t="shared" si="0"/>
        <v>0</v>
      </c>
    </row>
    <row r="17" spans="1:9" x14ac:dyDescent="0.25">
      <c r="A17" s="14"/>
      <c r="B17" s="14" t="s">
        <v>53</v>
      </c>
      <c r="C17" s="80" t="s">
        <v>100</v>
      </c>
      <c r="D17" s="68"/>
      <c r="E17" s="33">
        <f>'Stavební rozpočet'!I30</f>
        <v>0</v>
      </c>
      <c r="F17" s="33">
        <f>'Stavební rozpočet'!J30</f>
        <v>0</v>
      </c>
      <c r="G17" s="33">
        <f>'Stavební rozpočet'!K30</f>
        <v>0</v>
      </c>
      <c r="H17" s="33" t="s">
        <v>188</v>
      </c>
      <c r="I17" s="33">
        <f t="shared" si="0"/>
        <v>0</v>
      </c>
    </row>
    <row r="18" spans="1:9" x14ac:dyDescent="0.25">
      <c r="A18" s="14"/>
      <c r="B18" s="14" t="s">
        <v>55</v>
      </c>
      <c r="C18" s="80" t="s">
        <v>102</v>
      </c>
      <c r="D18" s="68"/>
      <c r="E18" s="33">
        <f>'Stavební rozpočet'!I32</f>
        <v>0</v>
      </c>
      <c r="F18" s="33">
        <f>'Stavební rozpočet'!J32</f>
        <v>0</v>
      </c>
      <c r="G18" s="33">
        <f>'Stavební rozpočet'!K32</f>
        <v>0</v>
      </c>
      <c r="H18" s="33" t="s">
        <v>188</v>
      </c>
      <c r="I18" s="33">
        <f t="shared" si="0"/>
        <v>0</v>
      </c>
    </row>
    <row r="19" spans="1:9" x14ac:dyDescent="0.25">
      <c r="A19" s="14"/>
      <c r="B19" s="14" t="s">
        <v>58</v>
      </c>
      <c r="C19" s="80" t="s">
        <v>105</v>
      </c>
      <c r="D19" s="68"/>
      <c r="E19" s="33">
        <f>'Stavební rozpočet'!I35</f>
        <v>0</v>
      </c>
      <c r="F19" s="33">
        <f>'Stavební rozpočet'!J35</f>
        <v>0</v>
      </c>
      <c r="G19" s="33">
        <f>'Stavební rozpočet'!K35</f>
        <v>0</v>
      </c>
      <c r="H19" s="33" t="s">
        <v>188</v>
      </c>
      <c r="I19" s="33">
        <f t="shared" si="0"/>
        <v>0</v>
      </c>
    </row>
    <row r="20" spans="1:9" x14ac:dyDescent="0.25">
      <c r="A20" s="14"/>
      <c r="B20" s="14" t="s">
        <v>68</v>
      </c>
      <c r="C20" s="80" t="s">
        <v>115</v>
      </c>
      <c r="D20" s="68"/>
      <c r="E20" s="33">
        <f>'Stavební rozpočet'!I45</f>
        <v>0</v>
      </c>
      <c r="F20" s="33">
        <f>'Stavební rozpočet'!J45</f>
        <v>0</v>
      </c>
      <c r="G20" s="33">
        <f>'Stavební rozpočet'!K45</f>
        <v>0</v>
      </c>
      <c r="H20" s="33" t="s">
        <v>188</v>
      </c>
      <c r="I20" s="33">
        <f t="shared" si="0"/>
        <v>0</v>
      </c>
    </row>
    <row r="21" spans="1:9" x14ac:dyDescent="0.25">
      <c r="A21" s="14"/>
      <c r="B21" s="14" t="s">
        <v>70</v>
      </c>
      <c r="C21" s="80" t="s">
        <v>117</v>
      </c>
      <c r="D21" s="68"/>
      <c r="E21" s="33">
        <f>'Stavební rozpočet'!I47</f>
        <v>0</v>
      </c>
      <c r="F21" s="33">
        <f>'Stavební rozpočet'!J47</f>
        <v>0</v>
      </c>
      <c r="G21" s="33">
        <f>'Stavební rozpočet'!K47</f>
        <v>0</v>
      </c>
      <c r="H21" s="33" t="s">
        <v>188</v>
      </c>
      <c r="I21" s="33">
        <f t="shared" si="0"/>
        <v>0</v>
      </c>
    </row>
    <row r="22" spans="1:9" x14ac:dyDescent="0.25">
      <c r="A22" s="14"/>
      <c r="B22" s="14" t="s">
        <v>72</v>
      </c>
      <c r="C22" s="80" t="s">
        <v>119</v>
      </c>
      <c r="D22" s="68"/>
      <c r="E22" s="33">
        <f>'Stavební rozpočet'!I49</f>
        <v>0</v>
      </c>
      <c r="F22" s="33">
        <f>'Stavební rozpočet'!J49</f>
        <v>0</v>
      </c>
      <c r="G22" s="33">
        <f>'Stavební rozpočet'!K49</f>
        <v>0</v>
      </c>
      <c r="H22" s="33" t="s">
        <v>188</v>
      </c>
      <c r="I22" s="33">
        <f t="shared" si="0"/>
        <v>0</v>
      </c>
    </row>
    <row r="23" spans="1:9" x14ac:dyDescent="0.25">
      <c r="A23" s="14"/>
      <c r="B23" s="14" t="s">
        <v>76</v>
      </c>
      <c r="C23" s="80" t="s">
        <v>123</v>
      </c>
      <c r="D23" s="68"/>
      <c r="E23" s="33">
        <f>'Stavební rozpočet'!I53</f>
        <v>0</v>
      </c>
      <c r="F23" s="33">
        <f>'Stavební rozpočet'!J53</f>
        <v>0</v>
      </c>
      <c r="G23" s="33">
        <f>'Stavební rozpočet'!K53</f>
        <v>0</v>
      </c>
      <c r="H23" s="33" t="s">
        <v>188</v>
      </c>
      <c r="I23" s="33">
        <f t="shared" si="0"/>
        <v>0</v>
      </c>
    </row>
    <row r="25" spans="1:9" x14ac:dyDescent="0.25">
      <c r="F25" s="42" t="s">
        <v>147</v>
      </c>
      <c r="G25" s="44">
        <f>SUM(I11:I23)</f>
        <v>0</v>
      </c>
    </row>
  </sheetData>
  <mergeCells count="31">
    <mergeCell ref="C22:D22"/>
    <mergeCell ref="C23:D23"/>
    <mergeCell ref="C16:D16"/>
    <mergeCell ref="C17:D17"/>
    <mergeCell ref="C18:D18"/>
    <mergeCell ref="C19:D19"/>
    <mergeCell ref="C20:D20"/>
    <mergeCell ref="C21:D21"/>
    <mergeCell ref="C15:D15"/>
    <mergeCell ref="A6:A7"/>
    <mergeCell ref="B6:C7"/>
    <mergeCell ref="D6:D7"/>
    <mergeCell ref="E6:G7"/>
    <mergeCell ref="A8:A9"/>
    <mergeCell ref="B8:C9"/>
    <mergeCell ref="D8:D9"/>
    <mergeCell ref="E8:G9"/>
    <mergeCell ref="C10:D10"/>
    <mergeCell ref="C11:D11"/>
    <mergeCell ref="C12:D12"/>
    <mergeCell ref="C13:D13"/>
    <mergeCell ref="C14:D14"/>
    <mergeCell ref="A4:A5"/>
    <mergeCell ref="B4:C5"/>
    <mergeCell ref="D4:D5"/>
    <mergeCell ref="E4:G5"/>
    <mergeCell ref="A1:G1"/>
    <mergeCell ref="A2:A3"/>
    <mergeCell ref="B2:C3"/>
    <mergeCell ref="D2:D3"/>
    <mergeCell ref="E2:G3"/>
  </mergeCells>
  <pageMargins left="0.39400000000000002" right="0.39400000000000002" top="0.59099999999999997" bottom="0.59099999999999997" header="0.5" footer="0.5"/>
  <pageSetup paperSize="0" fitToHeight="0" orientation="portrait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J59"/>
  <sheetViews>
    <sheetView workbookViewId="0">
      <pane ySplit="11" topLeftCell="A45" activePane="bottomLeft" state="frozenSplit"/>
      <selection pane="bottomLeft" activeCell="P31" sqref="P31"/>
    </sheetView>
  </sheetViews>
  <sheetFormatPr defaultColWidth="11.5546875" defaultRowHeight="13.2" x14ac:dyDescent="0.25"/>
  <cols>
    <col min="1" max="1" width="3.6640625" customWidth="1"/>
    <col min="2" max="2" width="14.33203125" customWidth="1"/>
    <col min="3" max="3" width="63.6640625" customWidth="1"/>
    <col min="6" max="6" width="4.33203125" customWidth="1"/>
    <col min="7" max="7" width="12.88671875" customWidth="1"/>
    <col min="8" max="8" width="12" customWidth="1"/>
    <col min="9" max="10" width="14.33203125" hidden="1" customWidth="1"/>
    <col min="11" max="11" width="14.33203125" customWidth="1"/>
    <col min="12" max="12" width="11.6640625" customWidth="1"/>
    <col min="25" max="62" width="12.109375" hidden="1" customWidth="1"/>
  </cols>
  <sheetData>
    <row r="1" spans="1:62" ht="72.900000000000006" customHeight="1" x14ac:dyDescent="0.4">
      <c r="A1" s="102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</row>
    <row r="2" spans="1:62" x14ac:dyDescent="0.25">
      <c r="A2" s="65" t="s">
        <v>1</v>
      </c>
      <c r="B2" s="66"/>
      <c r="C2" s="69" t="s">
        <v>235</v>
      </c>
      <c r="D2" s="111" t="s">
        <v>127</v>
      </c>
      <c r="E2" s="66"/>
      <c r="F2" s="111" t="s">
        <v>6</v>
      </c>
      <c r="G2" s="66"/>
      <c r="H2" s="72" t="s">
        <v>138</v>
      </c>
      <c r="I2" s="111" t="s">
        <v>144</v>
      </c>
      <c r="J2" s="66"/>
      <c r="K2" s="66"/>
      <c r="L2" s="103"/>
      <c r="M2" s="31"/>
    </row>
    <row r="3" spans="1:62" x14ac:dyDescent="0.25">
      <c r="A3" s="67"/>
      <c r="B3" s="68"/>
      <c r="C3" s="71"/>
      <c r="D3" s="68"/>
      <c r="E3" s="68"/>
      <c r="F3" s="68"/>
      <c r="G3" s="68"/>
      <c r="H3" s="68"/>
      <c r="I3" s="68"/>
      <c r="J3" s="68"/>
      <c r="K3" s="68"/>
      <c r="L3" s="74"/>
      <c r="M3" s="31"/>
    </row>
    <row r="4" spans="1:62" x14ac:dyDescent="0.25">
      <c r="A4" s="76" t="s">
        <v>2</v>
      </c>
      <c r="B4" s="68"/>
      <c r="C4" s="77" t="s">
        <v>6</v>
      </c>
      <c r="D4" s="80" t="s">
        <v>128</v>
      </c>
      <c r="E4" s="68"/>
      <c r="F4" s="80"/>
      <c r="G4" s="68"/>
      <c r="H4" s="77" t="s">
        <v>139</v>
      </c>
      <c r="I4" s="80" t="s">
        <v>144</v>
      </c>
      <c r="J4" s="68"/>
      <c r="K4" s="68"/>
      <c r="L4" s="74"/>
      <c r="M4" s="31"/>
    </row>
    <row r="5" spans="1:62" x14ac:dyDescent="0.25">
      <c r="A5" s="67"/>
      <c r="B5" s="68"/>
      <c r="C5" s="68"/>
      <c r="D5" s="68"/>
      <c r="E5" s="68"/>
      <c r="F5" s="68"/>
      <c r="G5" s="68"/>
      <c r="H5" s="68"/>
      <c r="I5" s="68"/>
      <c r="J5" s="68"/>
      <c r="K5" s="68"/>
      <c r="L5" s="74"/>
      <c r="M5" s="31"/>
    </row>
    <row r="6" spans="1:62" x14ac:dyDescent="0.25">
      <c r="A6" s="76" t="s">
        <v>3</v>
      </c>
      <c r="B6" s="68"/>
      <c r="C6" s="77" t="s">
        <v>6</v>
      </c>
      <c r="D6" s="80" t="s">
        <v>129</v>
      </c>
      <c r="E6" s="68"/>
      <c r="F6" s="80"/>
      <c r="G6" s="68"/>
      <c r="H6" s="77" t="s">
        <v>140</v>
      </c>
      <c r="I6" s="80" t="s">
        <v>144</v>
      </c>
      <c r="J6" s="68"/>
      <c r="K6" s="68"/>
      <c r="L6" s="74"/>
      <c r="M6" s="31"/>
    </row>
    <row r="7" spans="1:62" x14ac:dyDescent="0.25">
      <c r="A7" s="67"/>
      <c r="B7" s="68"/>
      <c r="C7" s="68"/>
      <c r="D7" s="68"/>
      <c r="E7" s="68"/>
      <c r="F7" s="68"/>
      <c r="G7" s="68"/>
      <c r="H7" s="68"/>
      <c r="I7" s="68"/>
      <c r="J7" s="68"/>
      <c r="K7" s="68"/>
      <c r="L7" s="74"/>
      <c r="M7" s="31"/>
    </row>
    <row r="8" spans="1:62" x14ac:dyDescent="0.25">
      <c r="A8" s="76" t="s">
        <v>4</v>
      </c>
      <c r="B8" s="68"/>
      <c r="C8" s="77" t="s">
        <v>6</v>
      </c>
      <c r="D8" s="80" t="s">
        <v>130</v>
      </c>
      <c r="E8" s="68"/>
      <c r="F8" s="80"/>
      <c r="G8" s="68"/>
      <c r="H8" s="77" t="s">
        <v>141</v>
      </c>
      <c r="I8" s="80" t="s">
        <v>144</v>
      </c>
      <c r="J8" s="68"/>
      <c r="K8" s="68"/>
      <c r="L8" s="74"/>
      <c r="M8" s="31"/>
    </row>
    <row r="9" spans="1:62" x14ac:dyDescent="0.25">
      <c r="A9" s="104"/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6"/>
      <c r="M9" s="31"/>
    </row>
    <row r="10" spans="1:62" x14ac:dyDescent="0.25">
      <c r="A10" s="1" t="s">
        <v>5</v>
      </c>
      <c r="B10" s="10" t="s">
        <v>40</v>
      </c>
      <c r="C10" s="114" t="s">
        <v>80</v>
      </c>
      <c r="D10" s="115"/>
      <c r="E10" s="116"/>
      <c r="F10" s="10" t="s">
        <v>131</v>
      </c>
      <c r="G10" s="15" t="s">
        <v>137</v>
      </c>
      <c r="H10" s="19" t="s">
        <v>142</v>
      </c>
      <c r="I10" s="117" t="s">
        <v>145</v>
      </c>
      <c r="J10" s="118"/>
      <c r="K10" s="119"/>
      <c r="L10" s="24" t="s">
        <v>150</v>
      </c>
      <c r="M10" s="32"/>
    </row>
    <row r="11" spans="1:62" x14ac:dyDescent="0.25">
      <c r="A11" s="2" t="s">
        <v>6</v>
      </c>
      <c r="B11" s="11" t="s">
        <v>6</v>
      </c>
      <c r="C11" s="120" t="s">
        <v>81</v>
      </c>
      <c r="D11" s="121"/>
      <c r="E11" s="122"/>
      <c r="F11" s="11" t="s">
        <v>6</v>
      </c>
      <c r="G11" s="11" t="s">
        <v>6</v>
      </c>
      <c r="H11" s="20" t="s">
        <v>143</v>
      </c>
      <c r="I11" s="21" t="s">
        <v>146</v>
      </c>
      <c r="J11" s="22" t="s">
        <v>148</v>
      </c>
      <c r="K11" s="23" t="s">
        <v>149</v>
      </c>
      <c r="L11" s="25" t="s">
        <v>151</v>
      </c>
      <c r="M11" s="32"/>
      <c r="Z11" s="28" t="s">
        <v>153</v>
      </c>
      <c r="AA11" s="28" t="s">
        <v>154</v>
      </c>
      <c r="AB11" s="28" t="s">
        <v>155</v>
      </c>
      <c r="AC11" s="28" t="s">
        <v>156</v>
      </c>
      <c r="AD11" s="28" t="s">
        <v>157</v>
      </c>
      <c r="AE11" s="28" t="s">
        <v>158</v>
      </c>
      <c r="AF11" s="28" t="s">
        <v>159</v>
      </c>
      <c r="AG11" s="28" t="s">
        <v>160</v>
      </c>
      <c r="AH11" s="28" t="s">
        <v>161</v>
      </c>
      <c r="BH11" s="28" t="s">
        <v>179</v>
      </c>
      <c r="BI11" s="28" t="s">
        <v>180</v>
      </c>
      <c r="BJ11" s="28" t="s">
        <v>181</v>
      </c>
    </row>
    <row r="12" spans="1:62" x14ac:dyDescent="0.25">
      <c r="A12" s="3"/>
      <c r="B12" s="12" t="s">
        <v>17</v>
      </c>
      <c r="C12" s="123" t="s">
        <v>82</v>
      </c>
      <c r="D12" s="124"/>
      <c r="E12" s="124"/>
      <c r="F12" s="3" t="s">
        <v>6</v>
      </c>
      <c r="G12" s="3" t="s">
        <v>6</v>
      </c>
      <c r="H12" s="3" t="s">
        <v>6</v>
      </c>
      <c r="I12" s="35">
        <f>SUM(I13:I16)</f>
        <v>0</v>
      </c>
      <c r="J12" s="35">
        <f>SUM(J13:J16)</f>
        <v>0</v>
      </c>
      <c r="K12" s="35">
        <f>SUM(K13:K16)</f>
        <v>0</v>
      </c>
      <c r="L12" s="26"/>
      <c r="AI12" s="28"/>
      <c r="AS12" s="36">
        <f>SUM(AJ13:AJ16)</f>
        <v>0</v>
      </c>
      <c r="AT12" s="36">
        <f>SUM(AK13:AK16)</f>
        <v>0</v>
      </c>
      <c r="AU12" s="36">
        <f>SUM(AL13:AL16)</f>
        <v>0</v>
      </c>
    </row>
    <row r="13" spans="1:62" x14ac:dyDescent="0.25">
      <c r="A13" s="4" t="s">
        <v>7</v>
      </c>
      <c r="B13" s="4" t="s">
        <v>41</v>
      </c>
      <c r="C13" s="112" t="s">
        <v>83</v>
      </c>
      <c r="D13" s="113"/>
      <c r="E13" s="113"/>
      <c r="F13" s="4" t="s">
        <v>132</v>
      </c>
      <c r="G13" s="132">
        <v>7.2329999999999997</v>
      </c>
      <c r="H13" s="16">
        <v>0</v>
      </c>
      <c r="I13" s="16">
        <f>G13*AO13</f>
        <v>0</v>
      </c>
      <c r="J13" s="16">
        <f>G13*AP13</f>
        <v>0</v>
      </c>
      <c r="K13" s="16">
        <f>G13*H13</f>
        <v>0</v>
      </c>
      <c r="L13" s="27" t="s">
        <v>152</v>
      </c>
      <c r="Z13" s="33">
        <f>IF(AQ13="5",BJ13,0)</f>
        <v>0</v>
      </c>
      <c r="AB13" s="33">
        <f>IF(AQ13="1",BH13,0)</f>
        <v>0</v>
      </c>
      <c r="AC13" s="33">
        <f>IF(AQ13="1",BI13,0)</f>
        <v>0</v>
      </c>
      <c r="AD13" s="33">
        <f>IF(AQ13="7",BH13,0)</f>
        <v>0</v>
      </c>
      <c r="AE13" s="33">
        <f>IF(AQ13="7",BI13,0)</f>
        <v>0</v>
      </c>
      <c r="AF13" s="33">
        <f>IF(AQ13="2",BH13,0)</f>
        <v>0</v>
      </c>
      <c r="AG13" s="33">
        <f>IF(AQ13="2",BI13,0)</f>
        <v>0</v>
      </c>
      <c r="AH13" s="33">
        <f>IF(AQ13="0",BJ13,0)</f>
        <v>0</v>
      </c>
      <c r="AI13" s="28"/>
      <c r="AJ13" s="16">
        <f>IF(AN13=0,K13,0)</f>
        <v>0</v>
      </c>
      <c r="AK13" s="16">
        <f>IF(AN13=15,K13,0)</f>
        <v>0</v>
      </c>
      <c r="AL13" s="16">
        <f>IF(AN13=21,K13,0)</f>
        <v>0</v>
      </c>
      <c r="AN13" s="33">
        <v>21</v>
      </c>
      <c r="AO13" s="33">
        <f>H13*0</f>
        <v>0</v>
      </c>
      <c r="AP13" s="33">
        <f>H13*(1-0)</f>
        <v>0</v>
      </c>
      <c r="AQ13" s="27" t="s">
        <v>7</v>
      </c>
      <c r="AV13" s="33">
        <f>AW13+AX13</f>
        <v>0</v>
      </c>
      <c r="AW13" s="33">
        <f>G13*AO13</f>
        <v>0</v>
      </c>
      <c r="AX13" s="33">
        <f>G13*AP13</f>
        <v>0</v>
      </c>
      <c r="AY13" s="34" t="s">
        <v>162</v>
      </c>
      <c r="AZ13" s="34" t="s">
        <v>175</v>
      </c>
      <c r="BA13" s="28" t="s">
        <v>178</v>
      </c>
      <c r="BC13" s="33">
        <f>AW13+AX13</f>
        <v>0</v>
      </c>
      <c r="BD13" s="33">
        <f>H13/(100-BE13)*100</f>
        <v>0</v>
      </c>
      <c r="BE13" s="33">
        <v>0</v>
      </c>
      <c r="BF13" s="33">
        <f>13</f>
        <v>13</v>
      </c>
      <c r="BH13" s="16">
        <f>G13*AO13</f>
        <v>0</v>
      </c>
      <c r="BI13" s="16">
        <f>G13*AP13</f>
        <v>0</v>
      </c>
      <c r="BJ13" s="16">
        <f>G13*H13</f>
        <v>0</v>
      </c>
    </row>
    <row r="14" spans="1:62" x14ac:dyDescent="0.25">
      <c r="A14" s="4" t="s">
        <v>8</v>
      </c>
      <c r="B14" s="4" t="s">
        <v>42</v>
      </c>
      <c r="C14" s="112" t="s">
        <v>84</v>
      </c>
      <c r="D14" s="113"/>
      <c r="E14" s="113"/>
      <c r="F14" s="4" t="s">
        <v>132</v>
      </c>
      <c r="G14" s="132">
        <v>542.76700000000005</v>
      </c>
      <c r="H14" s="16">
        <v>0</v>
      </c>
      <c r="I14" s="16">
        <f>G14*AO14</f>
        <v>0</v>
      </c>
      <c r="J14" s="16">
        <f>G14*AP14</f>
        <v>0</v>
      </c>
      <c r="K14" s="16">
        <f>G14*H14</f>
        <v>0</v>
      </c>
      <c r="L14" s="27" t="s">
        <v>152</v>
      </c>
      <c r="Z14" s="33">
        <f>IF(AQ14="5",BJ14,0)</f>
        <v>0</v>
      </c>
      <c r="AB14" s="33">
        <f>IF(AQ14="1",BH14,0)</f>
        <v>0</v>
      </c>
      <c r="AC14" s="33">
        <f>IF(AQ14="1",BI14,0)</f>
        <v>0</v>
      </c>
      <c r="AD14" s="33">
        <f>IF(AQ14="7",BH14,0)</f>
        <v>0</v>
      </c>
      <c r="AE14" s="33">
        <f>IF(AQ14="7",BI14,0)</f>
        <v>0</v>
      </c>
      <c r="AF14" s="33">
        <f>IF(AQ14="2",BH14,0)</f>
        <v>0</v>
      </c>
      <c r="AG14" s="33">
        <f>IF(AQ14="2",BI14,0)</f>
        <v>0</v>
      </c>
      <c r="AH14" s="33">
        <f>IF(AQ14="0",BJ14,0)</f>
        <v>0</v>
      </c>
      <c r="AI14" s="28"/>
      <c r="AJ14" s="16">
        <f>IF(AN14=0,K14,0)</f>
        <v>0</v>
      </c>
      <c r="AK14" s="16">
        <f>IF(AN14=15,K14,0)</f>
        <v>0</v>
      </c>
      <c r="AL14" s="16">
        <f>IF(AN14=21,K14,0)</f>
        <v>0</v>
      </c>
      <c r="AN14" s="33">
        <v>21</v>
      </c>
      <c r="AO14" s="33">
        <f>H14*0</f>
        <v>0</v>
      </c>
      <c r="AP14" s="33">
        <f>H14*(1-0)</f>
        <v>0</v>
      </c>
      <c r="AQ14" s="27" t="s">
        <v>7</v>
      </c>
      <c r="AV14" s="33">
        <f>AW14+AX14</f>
        <v>0</v>
      </c>
      <c r="AW14" s="33">
        <f>G14*AO14</f>
        <v>0</v>
      </c>
      <c r="AX14" s="33">
        <f>G14*AP14</f>
        <v>0</v>
      </c>
      <c r="AY14" s="34" t="s">
        <v>162</v>
      </c>
      <c r="AZ14" s="34" t="s">
        <v>175</v>
      </c>
      <c r="BA14" s="28" t="s">
        <v>178</v>
      </c>
      <c r="BC14" s="33">
        <f>AW14+AX14</f>
        <v>0</v>
      </c>
      <c r="BD14" s="33">
        <f>H14/(100-BE14)*100</f>
        <v>0</v>
      </c>
      <c r="BE14" s="33">
        <v>0</v>
      </c>
      <c r="BF14" s="33">
        <f>14</f>
        <v>14</v>
      </c>
      <c r="BH14" s="16">
        <f>G14*AO14</f>
        <v>0</v>
      </c>
      <c r="BI14" s="16">
        <f>G14*AP14</f>
        <v>0</v>
      </c>
      <c r="BJ14" s="16">
        <f>G14*H14</f>
        <v>0</v>
      </c>
    </row>
    <row r="15" spans="1:62" x14ac:dyDescent="0.25">
      <c r="A15" s="4" t="s">
        <v>9</v>
      </c>
      <c r="B15" s="4" t="s">
        <v>43</v>
      </c>
      <c r="C15" s="112" t="s">
        <v>85</v>
      </c>
      <c r="D15" s="113"/>
      <c r="E15" s="113"/>
      <c r="F15" s="4" t="s">
        <v>132</v>
      </c>
      <c r="G15" s="132">
        <v>550</v>
      </c>
      <c r="H15" s="16">
        <v>0</v>
      </c>
      <c r="I15" s="16">
        <f>G15*AO15</f>
        <v>0</v>
      </c>
      <c r="J15" s="16">
        <f>G15*AP15</f>
        <v>0</v>
      </c>
      <c r="K15" s="16">
        <f>G15*H15</f>
        <v>0</v>
      </c>
      <c r="L15" s="27" t="s">
        <v>152</v>
      </c>
      <c r="Z15" s="33">
        <f>IF(AQ15="5",BJ15,0)</f>
        <v>0</v>
      </c>
      <c r="AB15" s="33">
        <f>IF(AQ15="1",BH15,0)</f>
        <v>0</v>
      </c>
      <c r="AC15" s="33">
        <f>IF(AQ15="1",BI15,0)</f>
        <v>0</v>
      </c>
      <c r="AD15" s="33">
        <f>IF(AQ15="7",BH15,0)</f>
        <v>0</v>
      </c>
      <c r="AE15" s="33">
        <f>IF(AQ15="7",BI15,0)</f>
        <v>0</v>
      </c>
      <c r="AF15" s="33">
        <f>IF(AQ15="2",BH15,0)</f>
        <v>0</v>
      </c>
      <c r="AG15" s="33">
        <f>IF(AQ15="2",BI15,0)</f>
        <v>0</v>
      </c>
      <c r="AH15" s="33">
        <f>IF(AQ15="0",BJ15,0)</f>
        <v>0</v>
      </c>
      <c r="AI15" s="28"/>
      <c r="AJ15" s="16">
        <f>IF(AN15=0,K15,0)</f>
        <v>0</v>
      </c>
      <c r="AK15" s="16">
        <f>IF(AN15=15,K15,0)</f>
        <v>0</v>
      </c>
      <c r="AL15" s="16">
        <f>IF(AN15=21,K15,0)</f>
        <v>0</v>
      </c>
      <c r="AN15" s="33">
        <v>21</v>
      </c>
      <c r="AO15" s="33">
        <f>H15*0</f>
        <v>0</v>
      </c>
      <c r="AP15" s="33">
        <f>H15*(1-0)</f>
        <v>0</v>
      </c>
      <c r="AQ15" s="27" t="s">
        <v>7</v>
      </c>
      <c r="AV15" s="33">
        <f>AW15+AX15</f>
        <v>0</v>
      </c>
      <c r="AW15" s="33">
        <f>G15*AO15</f>
        <v>0</v>
      </c>
      <c r="AX15" s="33">
        <f>G15*AP15</f>
        <v>0</v>
      </c>
      <c r="AY15" s="34" t="s">
        <v>162</v>
      </c>
      <c r="AZ15" s="34" t="s">
        <v>175</v>
      </c>
      <c r="BA15" s="28" t="s">
        <v>178</v>
      </c>
      <c r="BC15" s="33">
        <f>AW15+AX15</f>
        <v>0</v>
      </c>
      <c r="BD15" s="33">
        <f>H15/(100-BE15)*100</f>
        <v>0</v>
      </c>
      <c r="BE15" s="33">
        <v>0</v>
      </c>
      <c r="BF15" s="33">
        <f>15</f>
        <v>15</v>
      </c>
      <c r="BH15" s="16">
        <f>G15*AO15</f>
        <v>0</v>
      </c>
      <c r="BI15" s="16">
        <f>G15*AP15</f>
        <v>0</v>
      </c>
      <c r="BJ15" s="16">
        <f>G15*H15</f>
        <v>0</v>
      </c>
    </row>
    <row r="16" spans="1:62" x14ac:dyDescent="0.25">
      <c r="A16" s="4" t="s">
        <v>10</v>
      </c>
      <c r="B16" s="4" t="s">
        <v>44</v>
      </c>
      <c r="C16" s="112" t="s">
        <v>86</v>
      </c>
      <c r="D16" s="113"/>
      <c r="E16" s="113"/>
      <c r="F16" s="4" t="s">
        <v>133</v>
      </c>
      <c r="G16" s="132">
        <v>530.5</v>
      </c>
      <c r="H16" s="16">
        <v>0</v>
      </c>
      <c r="I16" s="16">
        <f>G16*AO16</f>
        <v>0</v>
      </c>
      <c r="J16" s="16">
        <f>G16*AP16</f>
        <v>0</v>
      </c>
      <c r="K16" s="16">
        <f>G16*H16</f>
        <v>0</v>
      </c>
      <c r="L16" s="27" t="s">
        <v>152</v>
      </c>
      <c r="Z16" s="33">
        <f>IF(AQ16="5",BJ16,0)</f>
        <v>0</v>
      </c>
      <c r="AB16" s="33">
        <f>IF(AQ16="1",BH16,0)</f>
        <v>0</v>
      </c>
      <c r="AC16" s="33">
        <f>IF(AQ16="1",BI16,0)</f>
        <v>0</v>
      </c>
      <c r="AD16" s="33">
        <f>IF(AQ16="7",BH16,0)</f>
        <v>0</v>
      </c>
      <c r="AE16" s="33">
        <f>IF(AQ16="7",BI16,0)</f>
        <v>0</v>
      </c>
      <c r="AF16" s="33">
        <f>IF(AQ16="2",BH16,0)</f>
        <v>0</v>
      </c>
      <c r="AG16" s="33">
        <f>IF(AQ16="2",BI16,0)</f>
        <v>0</v>
      </c>
      <c r="AH16" s="33">
        <f>IF(AQ16="0",BJ16,0)</f>
        <v>0</v>
      </c>
      <c r="AI16" s="28"/>
      <c r="AJ16" s="16">
        <f>IF(AN16=0,K16,0)</f>
        <v>0</v>
      </c>
      <c r="AK16" s="16">
        <f>IF(AN16=15,K16,0)</f>
        <v>0</v>
      </c>
      <c r="AL16" s="16">
        <f>IF(AN16=21,K16,0)</f>
        <v>0</v>
      </c>
      <c r="AN16" s="33">
        <v>21</v>
      </c>
      <c r="AO16" s="33">
        <f>H16*0</f>
        <v>0</v>
      </c>
      <c r="AP16" s="33">
        <f>H16*(1-0)</f>
        <v>0</v>
      </c>
      <c r="AQ16" s="27" t="s">
        <v>7</v>
      </c>
      <c r="AV16" s="33">
        <f>AW16+AX16</f>
        <v>0</v>
      </c>
      <c r="AW16" s="33">
        <f>G16*AO16</f>
        <v>0</v>
      </c>
      <c r="AX16" s="33">
        <f>G16*AP16</f>
        <v>0</v>
      </c>
      <c r="AY16" s="34" t="s">
        <v>162</v>
      </c>
      <c r="AZ16" s="34" t="s">
        <v>175</v>
      </c>
      <c r="BA16" s="28" t="s">
        <v>178</v>
      </c>
      <c r="BC16" s="33">
        <f>AW16+AX16</f>
        <v>0</v>
      </c>
      <c r="BD16" s="33">
        <f>H16/(100-BE16)*100</f>
        <v>0</v>
      </c>
      <c r="BE16" s="33">
        <v>0</v>
      </c>
      <c r="BF16" s="33">
        <f>16</f>
        <v>16</v>
      </c>
      <c r="BH16" s="16">
        <f>G16*AO16</f>
        <v>0</v>
      </c>
      <c r="BI16" s="16">
        <f>G16*AP16</f>
        <v>0</v>
      </c>
      <c r="BJ16" s="16">
        <f>G16*H16</f>
        <v>0</v>
      </c>
    </row>
    <row r="17" spans="1:62" x14ac:dyDescent="0.25">
      <c r="A17" s="5"/>
      <c r="B17" s="13" t="s">
        <v>18</v>
      </c>
      <c r="C17" s="125" t="s">
        <v>87</v>
      </c>
      <c r="D17" s="126"/>
      <c r="E17" s="126"/>
      <c r="F17" s="5" t="s">
        <v>6</v>
      </c>
      <c r="G17" s="133" t="s">
        <v>6</v>
      </c>
      <c r="H17" s="5" t="s">
        <v>6</v>
      </c>
      <c r="I17" s="36">
        <f>SUM(I18:I19)</f>
        <v>0</v>
      </c>
      <c r="J17" s="36">
        <f>SUM(J18:J19)</f>
        <v>0</v>
      </c>
      <c r="K17" s="36">
        <f>SUM(K18:K19)</f>
        <v>0</v>
      </c>
      <c r="L17" s="28"/>
      <c r="AI17" s="28"/>
      <c r="AS17" s="36">
        <f>SUM(AJ18:AJ19)</f>
        <v>0</v>
      </c>
      <c r="AT17" s="36">
        <f>SUM(AK18:AK19)</f>
        <v>0</v>
      </c>
      <c r="AU17" s="36">
        <f>SUM(AL18:AL19)</f>
        <v>0</v>
      </c>
    </row>
    <row r="18" spans="1:62" x14ac:dyDescent="0.25">
      <c r="A18" s="4" t="s">
        <v>11</v>
      </c>
      <c r="B18" s="4" t="s">
        <v>45</v>
      </c>
      <c r="C18" s="112" t="s">
        <v>88</v>
      </c>
      <c r="D18" s="113"/>
      <c r="E18" s="113"/>
      <c r="F18" s="4" t="s">
        <v>134</v>
      </c>
      <c r="G18" s="132">
        <v>55</v>
      </c>
      <c r="H18" s="16">
        <v>0</v>
      </c>
      <c r="I18" s="16">
        <f>G18*AO18</f>
        <v>0</v>
      </c>
      <c r="J18" s="16">
        <f>G18*AP18</f>
        <v>0</v>
      </c>
      <c r="K18" s="16">
        <f>G18*H18</f>
        <v>0</v>
      </c>
      <c r="L18" s="27" t="s">
        <v>152</v>
      </c>
      <c r="Z18" s="33">
        <f>IF(AQ18="5",BJ18,0)</f>
        <v>0</v>
      </c>
      <c r="AB18" s="33">
        <f>IF(AQ18="1",BH18,0)</f>
        <v>0</v>
      </c>
      <c r="AC18" s="33">
        <f>IF(AQ18="1",BI18,0)</f>
        <v>0</v>
      </c>
      <c r="AD18" s="33">
        <f>IF(AQ18="7",BH18,0)</f>
        <v>0</v>
      </c>
      <c r="AE18" s="33">
        <f>IF(AQ18="7",BI18,0)</f>
        <v>0</v>
      </c>
      <c r="AF18" s="33">
        <f>IF(AQ18="2",BH18,0)</f>
        <v>0</v>
      </c>
      <c r="AG18" s="33">
        <f>IF(AQ18="2",BI18,0)</f>
        <v>0</v>
      </c>
      <c r="AH18" s="33">
        <f>IF(AQ18="0",BJ18,0)</f>
        <v>0</v>
      </c>
      <c r="AI18" s="28"/>
      <c r="AJ18" s="16">
        <f>IF(AN18=0,K18,0)</f>
        <v>0</v>
      </c>
      <c r="AK18" s="16">
        <f>IF(AN18=15,K18,0)</f>
        <v>0</v>
      </c>
      <c r="AL18" s="16">
        <f>IF(AN18=21,K18,0)</f>
        <v>0</v>
      </c>
      <c r="AN18" s="33">
        <v>21</v>
      </c>
      <c r="AO18" s="33">
        <f>H18*0</f>
        <v>0</v>
      </c>
      <c r="AP18" s="33">
        <f>H18*(1-0)</f>
        <v>0</v>
      </c>
      <c r="AQ18" s="27" t="s">
        <v>7</v>
      </c>
      <c r="AV18" s="33">
        <f>AW18+AX18</f>
        <v>0</v>
      </c>
      <c r="AW18" s="33">
        <f>G18*AO18</f>
        <v>0</v>
      </c>
      <c r="AX18" s="33">
        <f>G18*AP18</f>
        <v>0</v>
      </c>
      <c r="AY18" s="34" t="s">
        <v>163</v>
      </c>
      <c r="AZ18" s="34" t="s">
        <v>175</v>
      </c>
      <c r="BA18" s="28" t="s">
        <v>178</v>
      </c>
      <c r="BC18" s="33">
        <f>AW18+AX18</f>
        <v>0</v>
      </c>
      <c r="BD18" s="33">
        <f>H18/(100-BE18)*100</f>
        <v>0</v>
      </c>
      <c r="BE18" s="33">
        <v>0</v>
      </c>
      <c r="BF18" s="33">
        <f>18</f>
        <v>18</v>
      </c>
      <c r="BH18" s="16">
        <f>G18*AO18</f>
        <v>0</v>
      </c>
      <c r="BI18" s="16">
        <f>G18*AP18</f>
        <v>0</v>
      </c>
      <c r="BJ18" s="16">
        <f>G18*H18</f>
        <v>0</v>
      </c>
    </row>
    <row r="19" spans="1:62" x14ac:dyDescent="0.25">
      <c r="A19" s="4" t="s">
        <v>12</v>
      </c>
      <c r="B19" s="4" t="s">
        <v>46</v>
      </c>
      <c r="C19" s="112" t="s">
        <v>89</v>
      </c>
      <c r="D19" s="113"/>
      <c r="E19" s="113"/>
      <c r="F19" s="4" t="s">
        <v>134</v>
      </c>
      <c r="G19" s="132">
        <v>55</v>
      </c>
      <c r="H19" s="16">
        <v>0</v>
      </c>
      <c r="I19" s="16">
        <f>G19*AO19</f>
        <v>0</v>
      </c>
      <c r="J19" s="16">
        <f>G19*AP19</f>
        <v>0</v>
      </c>
      <c r="K19" s="16">
        <f>G19*H19</f>
        <v>0</v>
      </c>
      <c r="L19" s="27" t="s">
        <v>152</v>
      </c>
      <c r="Z19" s="33">
        <f>IF(AQ19="5",BJ19,0)</f>
        <v>0</v>
      </c>
      <c r="AB19" s="33">
        <f>IF(AQ19="1",BH19,0)</f>
        <v>0</v>
      </c>
      <c r="AC19" s="33">
        <f>IF(AQ19="1",BI19,0)</f>
        <v>0</v>
      </c>
      <c r="AD19" s="33">
        <f>IF(AQ19="7",BH19,0)</f>
        <v>0</v>
      </c>
      <c r="AE19" s="33">
        <f>IF(AQ19="7",BI19,0)</f>
        <v>0</v>
      </c>
      <c r="AF19" s="33">
        <f>IF(AQ19="2",BH19,0)</f>
        <v>0</v>
      </c>
      <c r="AG19" s="33">
        <f>IF(AQ19="2",BI19,0)</f>
        <v>0</v>
      </c>
      <c r="AH19" s="33">
        <f>IF(AQ19="0",BJ19,0)</f>
        <v>0</v>
      </c>
      <c r="AI19" s="28"/>
      <c r="AJ19" s="16">
        <f>IF(AN19=0,K19,0)</f>
        <v>0</v>
      </c>
      <c r="AK19" s="16">
        <f>IF(AN19=15,K19,0)</f>
        <v>0</v>
      </c>
      <c r="AL19" s="16">
        <f>IF(AN19=21,K19,0)</f>
        <v>0</v>
      </c>
      <c r="AN19" s="33">
        <v>21</v>
      </c>
      <c r="AO19" s="33">
        <f>H19*0</f>
        <v>0</v>
      </c>
      <c r="AP19" s="33">
        <f>H19*(1-0)</f>
        <v>0</v>
      </c>
      <c r="AQ19" s="27" t="s">
        <v>7</v>
      </c>
      <c r="AV19" s="33">
        <f>AW19+AX19</f>
        <v>0</v>
      </c>
      <c r="AW19" s="33">
        <f>G19*AO19</f>
        <v>0</v>
      </c>
      <c r="AX19" s="33">
        <f>G19*AP19</f>
        <v>0</v>
      </c>
      <c r="AY19" s="34" t="s">
        <v>163</v>
      </c>
      <c r="AZ19" s="34" t="s">
        <v>175</v>
      </c>
      <c r="BA19" s="28" t="s">
        <v>178</v>
      </c>
      <c r="BC19" s="33">
        <f>AW19+AX19</f>
        <v>0</v>
      </c>
      <c r="BD19" s="33">
        <f>H19/(100-BE19)*100</f>
        <v>0</v>
      </c>
      <c r="BE19" s="33">
        <v>0</v>
      </c>
      <c r="BF19" s="33">
        <f>19</f>
        <v>19</v>
      </c>
      <c r="BH19" s="16">
        <f>G19*AO19</f>
        <v>0</v>
      </c>
      <c r="BI19" s="16">
        <f>G19*AP19</f>
        <v>0</v>
      </c>
      <c r="BJ19" s="16">
        <f>G19*H19</f>
        <v>0</v>
      </c>
    </row>
    <row r="20" spans="1:62" x14ac:dyDescent="0.25">
      <c r="A20" s="5"/>
      <c r="B20" s="13" t="s">
        <v>19</v>
      </c>
      <c r="C20" s="125" t="s">
        <v>90</v>
      </c>
      <c r="D20" s="126"/>
      <c r="E20" s="126"/>
      <c r="F20" s="5" t="s">
        <v>6</v>
      </c>
      <c r="G20" s="133" t="s">
        <v>6</v>
      </c>
      <c r="H20" s="5" t="s">
        <v>6</v>
      </c>
      <c r="I20" s="36">
        <f>SUM(I21:I22)</f>
        <v>0</v>
      </c>
      <c r="J20" s="36">
        <f>SUM(J21:J22)</f>
        <v>0</v>
      </c>
      <c r="K20" s="36">
        <f>SUM(K21:K22)</f>
        <v>0</v>
      </c>
      <c r="L20" s="28"/>
      <c r="AI20" s="28"/>
      <c r="AS20" s="36">
        <f>SUM(AJ21:AJ22)</f>
        <v>0</v>
      </c>
      <c r="AT20" s="36">
        <f>SUM(AK21:AK22)</f>
        <v>0</v>
      </c>
      <c r="AU20" s="36">
        <f>SUM(AL21:AL22)</f>
        <v>0</v>
      </c>
    </row>
    <row r="21" spans="1:62" x14ac:dyDescent="0.25">
      <c r="A21" s="4" t="s">
        <v>13</v>
      </c>
      <c r="B21" s="4" t="s">
        <v>47</v>
      </c>
      <c r="C21" s="112" t="s">
        <v>91</v>
      </c>
      <c r="D21" s="113"/>
      <c r="E21" s="113"/>
      <c r="F21" s="4" t="s">
        <v>134</v>
      </c>
      <c r="G21" s="132">
        <v>11.936</v>
      </c>
      <c r="H21" s="16">
        <v>0</v>
      </c>
      <c r="I21" s="16">
        <f>G21*AO21</f>
        <v>0</v>
      </c>
      <c r="J21" s="16">
        <f>G21*AP21</f>
        <v>0</v>
      </c>
      <c r="K21" s="16">
        <f>G21*H21</f>
        <v>0</v>
      </c>
      <c r="L21" s="27" t="s">
        <v>152</v>
      </c>
      <c r="Z21" s="33">
        <f>IF(AQ21="5",BJ21,0)</f>
        <v>0</v>
      </c>
      <c r="AB21" s="33">
        <f>IF(AQ21="1",BH21,0)</f>
        <v>0</v>
      </c>
      <c r="AC21" s="33">
        <f>IF(AQ21="1",BI21,0)</f>
        <v>0</v>
      </c>
      <c r="AD21" s="33">
        <f>IF(AQ21="7",BH21,0)</f>
        <v>0</v>
      </c>
      <c r="AE21" s="33">
        <f>IF(AQ21="7",BI21,0)</f>
        <v>0</v>
      </c>
      <c r="AF21" s="33">
        <f>IF(AQ21="2",BH21,0)</f>
        <v>0</v>
      </c>
      <c r="AG21" s="33">
        <f>IF(AQ21="2",BI21,0)</f>
        <v>0</v>
      </c>
      <c r="AH21" s="33">
        <f>IF(AQ21="0",BJ21,0)</f>
        <v>0</v>
      </c>
      <c r="AI21" s="28"/>
      <c r="AJ21" s="16">
        <f>IF(AN21=0,K21,0)</f>
        <v>0</v>
      </c>
      <c r="AK21" s="16">
        <f>IF(AN21=15,K21,0)</f>
        <v>0</v>
      </c>
      <c r="AL21" s="16">
        <f>IF(AN21=21,K21,0)</f>
        <v>0</v>
      </c>
      <c r="AN21" s="33">
        <v>21</v>
      </c>
      <c r="AO21" s="33">
        <f>H21*0</f>
        <v>0</v>
      </c>
      <c r="AP21" s="33">
        <f>H21*(1-0)</f>
        <v>0</v>
      </c>
      <c r="AQ21" s="27" t="s">
        <v>7</v>
      </c>
      <c r="AV21" s="33">
        <f>AW21+AX21</f>
        <v>0</v>
      </c>
      <c r="AW21" s="33">
        <f>G21*AO21</f>
        <v>0</v>
      </c>
      <c r="AX21" s="33">
        <f>G21*AP21</f>
        <v>0</v>
      </c>
      <c r="AY21" s="34" t="s">
        <v>164</v>
      </c>
      <c r="AZ21" s="34" t="s">
        <v>175</v>
      </c>
      <c r="BA21" s="28" t="s">
        <v>178</v>
      </c>
      <c r="BC21" s="33">
        <f>AW21+AX21</f>
        <v>0</v>
      </c>
      <c r="BD21" s="33">
        <f>H21/(100-BE21)*100</f>
        <v>0</v>
      </c>
      <c r="BE21" s="33">
        <v>0</v>
      </c>
      <c r="BF21" s="33">
        <f>21</f>
        <v>21</v>
      </c>
      <c r="BH21" s="16">
        <f>G21*AO21</f>
        <v>0</v>
      </c>
      <c r="BI21" s="16">
        <f>G21*AP21</f>
        <v>0</v>
      </c>
      <c r="BJ21" s="16">
        <f>G21*H21</f>
        <v>0</v>
      </c>
    </row>
    <row r="22" spans="1:62" x14ac:dyDescent="0.25">
      <c r="A22" s="4" t="s">
        <v>14</v>
      </c>
      <c r="B22" s="4" t="s">
        <v>48</v>
      </c>
      <c r="C22" s="112" t="s">
        <v>92</v>
      </c>
      <c r="D22" s="113"/>
      <c r="E22" s="113"/>
      <c r="F22" s="4" t="s">
        <v>134</v>
      </c>
      <c r="G22" s="132">
        <v>11.936</v>
      </c>
      <c r="H22" s="16">
        <v>0</v>
      </c>
      <c r="I22" s="16">
        <f>G22*AO22</f>
        <v>0</v>
      </c>
      <c r="J22" s="16">
        <f>G22*AP22</f>
        <v>0</v>
      </c>
      <c r="K22" s="16">
        <f>G22*H22</f>
        <v>0</v>
      </c>
      <c r="L22" s="27" t="s">
        <v>152</v>
      </c>
      <c r="Z22" s="33">
        <f>IF(AQ22="5",BJ22,0)</f>
        <v>0</v>
      </c>
      <c r="AB22" s="33">
        <f>IF(AQ22="1",BH22,0)</f>
        <v>0</v>
      </c>
      <c r="AC22" s="33">
        <f>IF(AQ22="1",BI22,0)</f>
        <v>0</v>
      </c>
      <c r="AD22" s="33">
        <f>IF(AQ22="7",BH22,0)</f>
        <v>0</v>
      </c>
      <c r="AE22" s="33">
        <f>IF(AQ22="7",BI22,0)</f>
        <v>0</v>
      </c>
      <c r="AF22" s="33">
        <f>IF(AQ22="2",BH22,0)</f>
        <v>0</v>
      </c>
      <c r="AG22" s="33">
        <f>IF(AQ22="2",BI22,0)</f>
        <v>0</v>
      </c>
      <c r="AH22" s="33">
        <f>IF(AQ22="0",BJ22,0)</f>
        <v>0</v>
      </c>
      <c r="AI22" s="28"/>
      <c r="AJ22" s="16">
        <f>IF(AN22=0,K22,0)</f>
        <v>0</v>
      </c>
      <c r="AK22" s="16">
        <f>IF(AN22=15,K22,0)</f>
        <v>0</v>
      </c>
      <c r="AL22" s="16">
        <f>IF(AN22=21,K22,0)</f>
        <v>0</v>
      </c>
      <c r="AN22" s="33">
        <v>21</v>
      </c>
      <c r="AO22" s="33">
        <f>H22*0</f>
        <v>0</v>
      </c>
      <c r="AP22" s="33">
        <f>H22*(1-0)</f>
        <v>0</v>
      </c>
      <c r="AQ22" s="27" t="s">
        <v>7</v>
      </c>
      <c r="AV22" s="33">
        <f>AW22+AX22</f>
        <v>0</v>
      </c>
      <c r="AW22" s="33">
        <f>G22*AO22</f>
        <v>0</v>
      </c>
      <c r="AX22" s="33">
        <f>G22*AP22</f>
        <v>0</v>
      </c>
      <c r="AY22" s="34" t="s">
        <v>164</v>
      </c>
      <c r="AZ22" s="34" t="s">
        <v>175</v>
      </c>
      <c r="BA22" s="28" t="s">
        <v>178</v>
      </c>
      <c r="BC22" s="33">
        <f>AW22+AX22</f>
        <v>0</v>
      </c>
      <c r="BD22" s="33">
        <f>H22/(100-BE22)*100</f>
        <v>0</v>
      </c>
      <c r="BE22" s="33">
        <v>0</v>
      </c>
      <c r="BF22" s="33">
        <f>22</f>
        <v>22</v>
      </c>
      <c r="BH22" s="16">
        <f>G22*AO22</f>
        <v>0</v>
      </c>
      <c r="BI22" s="16">
        <f>G22*AP22</f>
        <v>0</v>
      </c>
      <c r="BJ22" s="16">
        <f>G22*H22</f>
        <v>0</v>
      </c>
    </row>
    <row r="23" spans="1:62" x14ac:dyDescent="0.25">
      <c r="A23" s="5"/>
      <c r="B23" s="13" t="s">
        <v>22</v>
      </c>
      <c r="C23" s="125" t="s">
        <v>93</v>
      </c>
      <c r="D23" s="126"/>
      <c r="E23" s="126"/>
      <c r="F23" s="5" t="s">
        <v>6</v>
      </c>
      <c r="G23" s="133" t="s">
        <v>6</v>
      </c>
      <c r="H23" s="5" t="s">
        <v>6</v>
      </c>
      <c r="I23" s="36">
        <f>SUM(I24:I25)</f>
        <v>0</v>
      </c>
      <c r="J23" s="36">
        <f>SUM(J24:J25)</f>
        <v>0</v>
      </c>
      <c r="K23" s="36">
        <f>SUM(K24:K25)</f>
        <v>0</v>
      </c>
      <c r="L23" s="28"/>
      <c r="AI23" s="28"/>
      <c r="AS23" s="36">
        <f>SUM(AJ24:AJ25)</f>
        <v>0</v>
      </c>
      <c r="AT23" s="36">
        <f>SUM(AK24:AK25)</f>
        <v>0</v>
      </c>
      <c r="AU23" s="36">
        <f>SUM(AL24:AL25)</f>
        <v>0</v>
      </c>
    </row>
    <row r="24" spans="1:62" x14ac:dyDescent="0.25">
      <c r="A24" s="4" t="s">
        <v>15</v>
      </c>
      <c r="B24" s="4" t="s">
        <v>49</v>
      </c>
      <c r="C24" s="112" t="s">
        <v>94</v>
      </c>
      <c r="D24" s="113"/>
      <c r="E24" s="113"/>
      <c r="F24" s="4" t="s">
        <v>134</v>
      </c>
      <c r="G24" s="132">
        <v>66.936000000000007</v>
      </c>
      <c r="H24" s="16">
        <v>0</v>
      </c>
      <c r="I24" s="16">
        <f>G24*AO24</f>
        <v>0</v>
      </c>
      <c r="J24" s="16">
        <f>G24*AP24</f>
        <v>0</v>
      </c>
      <c r="K24" s="16">
        <f>G24*H24</f>
        <v>0</v>
      </c>
      <c r="L24" s="27" t="s">
        <v>152</v>
      </c>
      <c r="Z24" s="33">
        <f>IF(AQ24="5",BJ24,0)</f>
        <v>0</v>
      </c>
      <c r="AB24" s="33">
        <f>IF(AQ24="1",BH24,0)</f>
        <v>0</v>
      </c>
      <c r="AC24" s="33">
        <f>IF(AQ24="1",BI24,0)</f>
        <v>0</v>
      </c>
      <c r="AD24" s="33">
        <f>IF(AQ24="7",BH24,0)</f>
        <v>0</v>
      </c>
      <c r="AE24" s="33">
        <f>IF(AQ24="7",BI24,0)</f>
        <v>0</v>
      </c>
      <c r="AF24" s="33">
        <f>IF(AQ24="2",BH24,0)</f>
        <v>0</v>
      </c>
      <c r="AG24" s="33">
        <f>IF(AQ24="2",BI24,0)</f>
        <v>0</v>
      </c>
      <c r="AH24" s="33">
        <f>IF(AQ24="0",BJ24,0)</f>
        <v>0</v>
      </c>
      <c r="AI24" s="28"/>
      <c r="AJ24" s="16">
        <f>IF(AN24=0,K24,0)</f>
        <v>0</v>
      </c>
      <c r="AK24" s="16">
        <f>IF(AN24=15,K24,0)</f>
        <v>0</v>
      </c>
      <c r="AL24" s="16">
        <f>IF(AN24=21,K24,0)</f>
        <v>0</v>
      </c>
      <c r="AN24" s="33">
        <v>21</v>
      </c>
      <c r="AO24" s="33">
        <f>H24*0</f>
        <v>0</v>
      </c>
      <c r="AP24" s="33">
        <f>H24*(1-0)</f>
        <v>0</v>
      </c>
      <c r="AQ24" s="27" t="s">
        <v>7</v>
      </c>
      <c r="AV24" s="33">
        <f>AW24+AX24</f>
        <v>0</v>
      </c>
      <c r="AW24" s="33">
        <f>G24*AO24</f>
        <v>0</v>
      </c>
      <c r="AX24" s="33">
        <f>G24*AP24</f>
        <v>0</v>
      </c>
      <c r="AY24" s="34" t="s">
        <v>165</v>
      </c>
      <c r="AZ24" s="34" t="s">
        <v>175</v>
      </c>
      <c r="BA24" s="28" t="s">
        <v>178</v>
      </c>
      <c r="BC24" s="33">
        <f>AW24+AX24</f>
        <v>0</v>
      </c>
      <c r="BD24" s="33">
        <f>H24/(100-BE24)*100</f>
        <v>0</v>
      </c>
      <c r="BE24" s="33">
        <v>0</v>
      </c>
      <c r="BF24" s="33">
        <f>24</f>
        <v>24</v>
      </c>
      <c r="BH24" s="16">
        <f>G24*AO24</f>
        <v>0</v>
      </c>
      <c r="BI24" s="16">
        <f>G24*AP24</f>
        <v>0</v>
      </c>
      <c r="BJ24" s="16">
        <f>G24*H24</f>
        <v>0</v>
      </c>
    </row>
    <row r="25" spans="1:62" x14ac:dyDescent="0.25">
      <c r="A25" s="4" t="s">
        <v>16</v>
      </c>
      <c r="B25" s="4" t="s">
        <v>50</v>
      </c>
      <c r="C25" s="112" t="s">
        <v>95</v>
      </c>
      <c r="D25" s="113"/>
      <c r="E25" s="113"/>
      <c r="F25" s="4" t="s">
        <v>134</v>
      </c>
      <c r="G25" s="132">
        <v>66.936000000000007</v>
      </c>
      <c r="H25" s="16">
        <v>0</v>
      </c>
      <c r="I25" s="16">
        <f>G25*AO25</f>
        <v>0</v>
      </c>
      <c r="J25" s="16">
        <f>G25*AP25</f>
        <v>0</v>
      </c>
      <c r="K25" s="16">
        <f>G25*H25</f>
        <v>0</v>
      </c>
      <c r="L25" s="27" t="s">
        <v>152</v>
      </c>
      <c r="Z25" s="33">
        <f>IF(AQ25="5",BJ25,0)</f>
        <v>0</v>
      </c>
      <c r="AB25" s="33">
        <f>IF(AQ25="1",BH25,0)</f>
        <v>0</v>
      </c>
      <c r="AC25" s="33">
        <f>IF(AQ25="1",BI25,0)</f>
        <v>0</v>
      </c>
      <c r="AD25" s="33">
        <f>IF(AQ25="7",BH25,0)</f>
        <v>0</v>
      </c>
      <c r="AE25" s="33">
        <f>IF(AQ25="7",BI25,0)</f>
        <v>0</v>
      </c>
      <c r="AF25" s="33">
        <f>IF(AQ25="2",BH25,0)</f>
        <v>0</v>
      </c>
      <c r="AG25" s="33">
        <f>IF(AQ25="2",BI25,0)</f>
        <v>0</v>
      </c>
      <c r="AH25" s="33">
        <f>IF(AQ25="0",BJ25,0)</f>
        <v>0</v>
      </c>
      <c r="AI25" s="28"/>
      <c r="AJ25" s="16">
        <f>IF(AN25=0,K25,0)</f>
        <v>0</v>
      </c>
      <c r="AK25" s="16">
        <f>IF(AN25=15,K25,0)</f>
        <v>0</v>
      </c>
      <c r="AL25" s="16">
        <f>IF(AN25=21,K25,0)</f>
        <v>0</v>
      </c>
      <c r="AN25" s="33">
        <v>21</v>
      </c>
      <c r="AO25" s="33">
        <f>H25*0</f>
        <v>0</v>
      </c>
      <c r="AP25" s="33">
        <f>H25*(1-0)</f>
        <v>0</v>
      </c>
      <c r="AQ25" s="27" t="s">
        <v>7</v>
      </c>
      <c r="AV25" s="33">
        <f>AW25+AX25</f>
        <v>0</v>
      </c>
      <c r="AW25" s="33">
        <f>G25*AO25</f>
        <v>0</v>
      </c>
      <c r="AX25" s="33">
        <f>G25*AP25</f>
        <v>0</v>
      </c>
      <c r="AY25" s="34" t="s">
        <v>165</v>
      </c>
      <c r="AZ25" s="34" t="s">
        <v>175</v>
      </c>
      <c r="BA25" s="28" t="s">
        <v>178</v>
      </c>
      <c r="BC25" s="33">
        <f>AW25+AX25</f>
        <v>0</v>
      </c>
      <c r="BD25" s="33">
        <f>H25/(100-BE25)*100</f>
        <v>0</v>
      </c>
      <c r="BE25" s="33">
        <v>0</v>
      </c>
      <c r="BF25" s="33">
        <f>25</f>
        <v>25</v>
      </c>
      <c r="BH25" s="16">
        <f>G25*AO25</f>
        <v>0</v>
      </c>
      <c r="BI25" s="16">
        <f>G25*AP25</f>
        <v>0</v>
      </c>
      <c r="BJ25" s="16">
        <f>G25*H25</f>
        <v>0</v>
      </c>
    </row>
    <row r="26" spans="1:62" x14ac:dyDescent="0.25">
      <c r="A26" s="5"/>
      <c r="B26" s="13" t="s">
        <v>23</v>
      </c>
      <c r="C26" s="125" t="s">
        <v>96</v>
      </c>
      <c r="D26" s="126"/>
      <c r="E26" s="126"/>
      <c r="F26" s="5" t="s">
        <v>6</v>
      </c>
      <c r="G26" s="133" t="s">
        <v>6</v>
      </c>
      <c r="H26" s="5" t="s">
        <v>6</v>
      </c>
      <c r="I26" s="36">
        <f>SUM(I27:I27)</f>
        <v>0</v>
      </c>
      <c r="J26" s="36">
        <f>SUM(J27:J27)</f>
        <v>0</v>
      </c>
      <c r="K26" s="36">
        <f>SUM(K27:K27)</f>
        <v>0</v>
      </c>
      <c r="L26" s="28"/>
      <c r="AI26" s="28"/>
      <c r="AS26" s="36">
        <f>SUM(AJ27:AJ27)</f>
        <v>0</v>
      </c>
      <c r="AT26" s="36">
        <f>SUM(AK27:AK27)</f>
        <v>0</v>
      </c>
      <c r="AU26" s="36">
        <f>SUM(AL27:AL27)</f>
        <v>0</v>
      </c>
    </row>
    <row r="27" spans="1:62" x14ac:dyDescent="0.25">
      <c r="A27" s="4" t="s">
        <v>17</v>
      </c>
      <c r="B27" s="4" t="s">
        <v>51</v>
      </c>
      <c r="C27" s="112" t="s">
        <v>97</v>
      </c>
      <c r="D27" s="113"/>
      <c r="E27" s="113"/>
      <c r="F27" s="4" t="s">
        <v>134</v>
      </c>
      <c r="G27" s="132">
        <v>66.936000000000007</v>
      </c>
      <c r="H27" s="16">
        <v>0</v>
      </c>
      <c r="I27" s="16">
        <f>G27*AO27</f>
        <v>0</v>
      </c>
      <c r="J27" s="16">
        <f>G27*AP27</f>
        <v>0</v>
      </c>
      <c r="K27" s="16">
        <f>G27*H27</f>
        <v>0</v>
      </c>
      <c r="L27" s="27" t="s">
        <v>152</v>
      </c>
      <c r="Z27" s="33">
        <f>IF(AQ27="5",BJ27,0)</f>
        <v>0</v>
      </c>
      <c r="AB27" s="33">
        <f>IF(AQ27="1",BH27,0)</f>
        <v>0</v>
      </c>
      <c r="AC27" s="33">
        <f>IF(AQ27="1",BI27,0)</f>
        <v>0</v>
      </c>
      <c r="AD27" s="33">
        <f>IF(AQ27="7",BH27,0)</f>
        <v>0</v>
      </c>
      <c r="AE27" s="33">
        <f>IF(AQ27="7",BI27,0)</f>
        <v>0</v>
      </c>
      <c r="AF27" s="33">
        <f>IF(AQ27="2",BH27,0)</f>
        <v>0</v>
      </c>
      <c r="AG27" s="33">
        <f>IF(AQ27="2",BI27,0)</f>
        <v>0</v>
      </c>
      <c r="AH27" s="33">
        <f>IF(AQ27="0",BJ27,0)</f>
        <v>0</v>
      </c>
      <c r="AI27" s="28"/>
      <c r="AJ27" s="16">
        <f>IF(AN27=0,K27,0)</f>
        <v>0</v>
      </c>
      <c r="AK27" s="16">
        <f>IF(AN27=15,K27,0)</f>
        <v>0</v>
      </c>
      <c r="AL27" s="16">
        <f>IF(AN27=21,K27,0)</f>
        <v>0</v>
      </c>
      <c r="AN27" s="33">
        <v>21</v>
      </c>
      <c r="AO27" s="33">
        <f>H27*0</f>
        <v>0</v>
      </c>
      <c r="AP27" s="33">
        <f>H27*(1-0)</f>
        <v>0</v>
      </c>
      <c r="AQ27" s="27" t="s">
        <v>7</v>
      </c>
      <c r="AV27" s="33">
        <f>AW27+AX27</f>
        <v>0</v>
      </c>
      <c r="AW27" s="33">
        <f>G27*AO27</f>
        <v>0</v>
      </c>
      <c r="AX27" s="33">
        <f>G27*AP27</f>
        <v>0</v>
      </c>
      <c r="AY27" s="34" t="s">
        <v>166</v>
      </c>
      <c r="AZ27" s="34" t="s">
        <v>175</v>
      </c>
      <c r="BA27" s="28" t="s">
        <v>178</v>
      </c>
      <c r="BC27" s="33">
        <f>AW27+AX27</f>
        <v>0</v>
      </c>
      <c r="BD27" s="33">
        <f>H27/(100-BE27)*100</f>
        <v>0</v>
      </c>
      <c r="BE27" s="33">
        <v>0</v>
      </c>
      <c r="BF27" s="33">
        <f>27</f>
        <v>27</v>
      </c>
      <c r="BH27" s="16">
        <f>G27*AO27</f>
        <v>0</v>
      </c>
      <c r="BI27" s="16">
        <f>G27*AP27</f>
        <v>0</v>
      </c>
      <c r="BJ27" s="16">
        <f>G27*H27</f>
        <v>0</v>
      </c>
    </row>
    <row r="28" spans="1:62" x14ac:dyDescent="0.25">
      <c r="A28" s="5"/>
      <c r="B28" s="13" t="s">
        <v>24</v>
      </c>
      <c r="C28" s="125" t="s">
        <v>98</v>
      </c>
      <c r="D28" s="126"/>
      <c r="E28" s="126"/>
      <c r="F28" s="5" t="s">
        <v>6</v>
      </c>
      <c r="G28" s="133" t="s">
        <v>6</v>
      </c>
      <c r="H28" s="5" t="s">
        <v>6</v>
      </c>
      <c r="I28" s="36">
        <f>SUM(I29:I29)</f>
        <v>0</v>
      </c>
      <c r="J28" s="36">
        <f>SUM(J29:J29)</f>
        <v>0</v>
      </c>
      <c r="K28" s="36">
        <f>SUM(K29:K29)</f>
        <v>0</v>
      </c>
      <c r="L28" s="28"/>
      <c r="AI28" s="28"/>
      <c r="AS28" s="36">
        <f>SUM(AJ29:AJ29)</f>
        <v>0</v>
      </c>
      <c r="AT28" s="36">
        <f>SUM(AK29:AK29)</f>
        <v>0</v>
      </c>
      <c r="AU28" s="36">
        <f>SUM(AL29:AL29)</f>
        <v>0</v>
      </c>
    </row>
    <row r="29" spans="1:62" x14ac:dyDescent="0.25">
      <c r="A29" s="4" t="s">
        <v>18</v>
      </c>
      <c r="B29" s="4" t="s">
        <v>52</v>
      </c>
      <c r="C29" s="112" t="s">
        <v>99</v>
      </c>
      <c r="D29" s="113"/>
      <c r="E29" s="113"/>
      <c r="F29" s="4" t="s">
        <v>132</v>
      </c>
      <c r="G29" s="132">
        <v>550</v>
      </c>
      <c r="H29" s="16">
        <v>0</v>
      </c>
      <c r="I29" s="16">
        <f>G29*AO29</f>
        <v>0</v>
      </c>
      <c r="J29" s="16">
        <f>G29*AP29</f>
        <v>0</v>
      </c>
      <c r="K29" s="16">
        <f>G29*H29</f>
        <v>0</v>
      </c>
      <c r="L29" s="27" t="s">
        <v>152</v>
      </c>
      <c r="Z29" s="33">
        <f>IF(AQ29="5",BJ29,0)</f>
        <v>0</v>
      </c>
      <c r="AB29" s="33">
        <f>IF(AQ29="1",BH29,0)</f>
        <v>0</v>
      </c>
      <c r="AC29" s="33">
        <f>IF(AQ29="1",BI29,0)</f>
        <v>0</v>
      </c>
      <c r="AD29" s="33">
        <f>IF(AQ29="7",BH29,0)</f>
        <v>0</v>
      </c>
      <c r="AE29" s="33">
        <f>IF(AQ29="7",BI29,0)</f>
        <v>0</v>
      </c>
      <c r="AF29" s="33">
        <f>IF(AQ29="2",BH29,0)</f>
        <v>0</v>
      </c>
      <c r="AG29" s="33">
        <f>IF(AQ29="2",BI29,0)</f>
        <v>0</v>
      </c>
      <c r="AH29" s="33">
        <f>IF(AQ29="0",BJ29,0)</f>
        <v>0</v>
      </c>
      <c r="AI29" s="28"/>
      <c r="AJ29" s="16">
        <f>IF(AN29=0,K29,0)</f>
        <v>0</v>
      </c>
      <c r="AK29" s="16">
        <f>IF(AN29=15,K29,0)</f>
        <v>0</v>
      </c>
      <c r="AL29" s="16">
        <f>IF(AN29=21,K29,0)</f>
        <v>0</v>
      </c>
      <c r="AN29" s="33">
        <v>21</v>
      </c>
      <c r="AO29" s="33">
        <f>H29*0</f>
        <v>0</v>
      </c>
      <c r="AP29" s="33">
        <f>H29*(1-0)</f>
        <v>0</v>
      </c>
      <c r="AQ29" s="27" t="s">
        <v>7</v>
      </c>
      <c r="AV29" s="33">
        <f>AW29+AX29</f>
        <v>0</v>
      </c>
      <c r="AW29" s="33">
        <f>G29*AO29</f>
        <v>0</v>
      </c>
      <c r="AX29" s="33">
        <f>G29*AP29</f>
        <v>0</v>
      </c>
      <c r="AY29" s="34" t="s">
        <v>167</v>
      </c>
      <c r="AZ29" s="34" t="s">
        <v>175</v>
      </c>
      <c r="BA29" s="28" t="s">
        <v>178</v>
      </c>
      <c r="BC29" s="33">
        <f>AW29+AX29</f>
        <v>0</v>
      </c>
      <c r="BD29" s="33">
        <f>H29/(100-BE29)*100</f>
        <v>0</v>
      </c>
      <c r="BE29" s="33">
        <v>0</v>
      </c>
      <c r="BF29" s="33">
        <f>29</f>
        <v>29</v>
      </c>
      <c r="BH29" s="16">
        <f>G29*AO29</f>
        <v>0</v>
      </c>
      <c r="BI29" s="16">
        <f>G29*AP29</f>
        <v>0</v>
      </c>
      <c r="BJ29" s="16">
        <f>G29*H29</f>
        <v>0</v>
      </c>
    </row>
    <row r="30" spans="1:62" x14ac:dyDescent="0.25">
      <c r="A30" s="5"/>
      <c r="B30" s="13" t="s">
        <v>53</v>
      </c>
      <c r="C30" s="125" t="s">
        <v>100</v>
      </c>
      <c r="D30" s="126"/>
      <c r="E30" s="126"/>
      <c r="F30" s="5" t="s">
        <v>6</v>
      </c>
      <c r="G30" s="133" t="s">
        <v>6</v>
      </c>
      <c r="H30" s="5" t="s">
        <v>6</v>
      </c>
      <c r="I30" s="36">
        <f>SUM(I31:I31)</f>
        <v>0</v>
      </c>
      <c r="J30" s="36">
        <f>SUM(J31:J31)</f>
        <v>0</v>
      </c>
      <c r="K30" s="36">
        <f>SUM(K31:K31)</f>
        <v>0</v>
      </c>
      <c r="L30" s="28"/>
      <c r="AI30" s="28"/>
      <c r="AS30" s="36">
        <f>SUM(AJ31:AJ31)</f>
        <v>0</v>
      </c>
      <c r="AT30" s="36">
        <f>SUM(AK31:AK31)</f>
        <v>0</v>
      </c>
      <c r="AU30" s="36">
        <f>SUM(AL31:AL31)</f>
        <v>0</v>
      </c>
    </row>
    <row r="31" spans="1:62" x14ac:dyDescent="0.25">
      <c r="A31" s="4" t="s">
        <v>19</v>
      </c>
      <c r="B31" s="4" t="s">
        <v>54</v>
      </c>
      <c r="C31" s="112" t="s">
        <v>101</v>
      </c>
      <c r="D31" s="113"/>
      <c r="E31" s="113"/>
      <c r="F31" s="4" t="s">
        <v>132</v>
      </c>
      <c r="G31" s="134">
        <v>550</v>
      </c>
      <c r="H31" s="16">
        <v>0</v>
      </c>
      <c r="I31" s="16">
        <f>G31*AO31</f>
        <v>0</v>
      </c>
      <c r="J31" s="16">
        <f>G31*AP31</f>
        <v>0</v>
      </c>
      <c r="K31" s="16">
        <f>G31*H31</f>
        <v>0</v>
      </c>
      <c r="L31" s="27" t="s">
        <v>152</v>
      </c>
      <c r="Z31" s="33">
        <f>IF(AQ31="5",BJ31,0)</f>
        <v>0</v>
      </c>
      <c r="AB31" s="33">
        <f>IF(AQ31="1",BH31,0)</f>
        <v>0</v>
      </c>
      <c r="AC31" s="33">
        <f>IF(AQ31="1",BI31,0)</f>
        <v>0</v>
      </c>
      <c r="AD31" s="33">
        <f>IF(AQ31="7",BH31,0)</f>
        <v>0</v>
      </c>
      <c r="AE31" s="33">
        <f>IF(AQ31="7",BI31,0)</f>
        <v>0</v>
      </c>
      <c r="AF31" s="33">
        <f>IF(AQ31="2",BH31,0)</f>
        <v>0</v>
      </c>
      <c r="AG31" s="33">
        <f>IF(AQ31="2",BI31,0)</f>
        <v>0</v>
      </c>
      <c r="AH31" s="33">
        <f>IF(AQ31="0",BJ31,0)</f>
        <v>0</v>
      </c>
      <c r="AI31" s="28"/>
      <c r="AJ31" s="16">
        <f>IF(AN31=0,K31,0)</f>
        <v>0</v>
      </c>
      <c r="AK31" s="16">
        <f>IF(AN31=15,K31,0)</f>
        <v>0</v>
      </c>
      <c r="AL31" s="16">
        <f>IF(AN31=21,K31,0)</f>
        <v>0</v>
      </c>
      <c r="AN31" s="33">
        <v>21</v>
      </c>
      <c r="AO31" s="33">
        <f>H31*0.864166666666667</f>
        <v>0</v>
      </c>
      <c r="AP31" s="33">
        <f>H31*(1-0.864166666666667)</f>
        <v>0</v>
      </c>
      <c r="AQ31" s="27" t="s">
        <v>7</v>
      </c>
      <c r="AV31" s="33">
        <f>AW31+AX31</f>
        <v>0</v>
      </c>
      <c r="AW31" s="33">
        <f>G31*AO31</f>
        <v>0</v>
      </c>
      <c r="AX31" s="33">
        <f>G31*AP31</f>
        <v>0</v>
      </c>
      <c r="AY31" s="34" t="s">
        <v>168</v>
      </c>
      <c r="AZ31" s="34" t="s">
        <v>176</v>
      </c>
      <c r="BA31" s="28" t="s">
        <v>178</v>
      </c>
      <c r="BC31" s="33">
        <f>AW31+AX31</f>
        <v>0</v>
      </c>
      <c r="BD31" s="33">
        <f>H31/(100-BE31)*100</f>
        <v>0</v>
      </c>
      <c r="BE31" s="33">
        <v>0</v>
      </c>
      <c r="BF31" s="33">
        <f>31</f>
        <v>31</v>
      </c>
      <c r="BH31" s="16">
        <f>G31*AO31</f>
        <v>0</v>
      </c>
      <c r="BI31" s="16">
        <f>G31*AP31</f>
        <v>0</v>
      </c>
      <c r="BJ31" s="16">
        <f>G31*H31</f>
        <v>0</v>
      </c>
    </row>
    <row r="32" spans="1:62" x14ac:dyDescent="0.25">
      <c r="A32" s="5"/>
      <c r="B32" s="13" t="s">
        <v>55</v>
      </c>
      <c r="C32" s="125" t="s">
        <v>102</v>
      </c>
      <c r="D32" s="126"/>
      <c r="E32" s="126"/>
      <c r="F32" s="5" t="s">
        <v>6</v>
      </c>
      <c r="G32" s="135" t="s">
        <v>6</v>
      </c>
      <c r="H32" s="5" t="s">
        <v>6</v>
      </c>
      <c r="I32" s="36">
        <f>SUM(I33:I34)</f>
        <v>0</v>
      </c>
      <c r="J32" s="36">
        <f>SUM(J33:J34)</f>
        <v>0</v>
      </c>
      <c r="K32" s="36">
        <f>SUM(K33:K34)</f>
        <v>0</v>
      </c>
      <c r="L32" s="28"/>
      <c r="AI32" s="28"/>
      <c r="AS32" s="36">
        <f>SUM(AJ33:AJ34)</f>
        <v>0</v>
      </c>
      <c r="AT32" s="36">
        <f>SUM(AK33:AK34)</f>
        <v>0</v>
      </c>
      <c r="AU32" s="36">
        <f>SUM(AL33:AL34)</f>
        <v>0</v>
      </c>
    </row>
    <row r="33" spans="1:62" x14ac:dyDescent="0.25">
      <c r="A33" s="4" t="s">
        <v>20</v>
      </c>
      <c r="B33" s="4" t="s">
        <v>56</v>
      </c>
      <c r="C33" s="112" t="s">
        <v>103</v>
      </c>
      <c r="D33" s="113"/>
      <c r="E33" s="113"/>
      <c r="F33" s="4" t="s">
        <v>132</v>
      </c>
      <c r="G33" s="134">
        <v>550</v>
      </c>
      <c r="H33" s="16">
        <v>0</v>
      </c>
      <c r="I33" s="16">
        <f>G33*AO33</f>
        <v>0</v>
      </c>
      <c r="J33" s="16">
        <f>G33*AP33</f>
        <v>0</v>
      </c>
      <c r="K33" s="16">
        <f>G33*H33</f>
        <v>0</v>
      </c>
      <c r="L33" s="27" t="s">
        <v>152</v>
      </c>
      <c r="Z33" s="33">
        <f>IF(AQ33="5",BJ33,0)</f>
        <v>0</v>
      </c>
      <c r="AB33" s="33">
        <f>IF(AQ33="1",BH33,0)</f>
        <v>0</v>
      </c>
      <c r="AC33" s="33">
        <f>IF(AQ33="1",BI33,0)</f>
        <v>0</v>
      </c>
      <c r="AD33" s="33">
        <f>IF(AQ33="7",BH33,0)</f>
        <v>0</v>
      </c>
      <c r="AE33" s="33">
        <f>IF(AQ33="7",BI33,0)</f>
        <v>0</v>
      </c>
      <c r="AF33" s="33">
        <f>IF(AQ33="2",BH33,0)</f>
        <v>0</v>
      </c>
      <c r="AG33" s="33">
        <f>IF(AQ33="2",BI33,0)</f>
        <v>0</v>
      </c>
      <c r="AH33" s="33">
        <f>IF(AQ33="0",BJ33,0)</f>
        <v>0</v>
      </c>
      <c r="AI33" s="28"/>
      <c r="AJ33" s="16">
        <f>IF(AN33=0,K33,0)</f>
        <v>0</v>
      </c>
      <c r="AK33" s="16">
        <f>IF(AN33=15,K33,0)</f>
        <v>0</v>
      </c>
      <c r="AL33" s="16">
        <f>IF(AN33=21,K33,0)</f>
        <v>0</v>
      </c>
      <c r="AN33" s="33">
        <v>21</v>
      </c>
      <c r="AO33" s="33">
        <f>H33*0.122037409364927</f>
        <v>0</v>
      </c>
      <c r="AP33" s="33">
        <f>H33*(1-0.122037409364927)</f>
        <v>0</v>
      </c>
      <c r="AQ33" s="27" t="s">
        <v>7</v>
      </c>
      <c r="AV33" s="33">
        <f>AW33+AX33</f>
        <v>0</v>
      </c>
      <c r="AW33" s="33">
        <f>G33*AO33</f>
        <v>0</v>
      </c>
      <c r="AX33" s="33">
        <f>G33*AP33</f>
        <v>0</v>
      </c>
      <c r="AY33" s="34" t="s">
        <v>169</v>
      </c>
      <c r="AZ33" s="34" t="s">
        <v>176</v>
      </c>
      <c r="BA33" s="28" t="s">
        <v>178</v>
      </c>
      <c r="BC33" s="33">
        <f>AW33+AX33</f>
        <v>0</v>
      </c>
      <c r="BD33" s="33">
        <f>H33/(100-BE33)*100</f>
        <v>0</v>
      </c>
      <c r="BE33" s="33">
        <v>0</v>
      </c>
      <c r="BF33" s="33">
        <f>33</f>
        <v>33</v>
      </c>
      <c r="BH33" s="16">
        <f>G33*AO33</f>
        <v>0</v>
      </c>
      <c r="BI33" s="16">
        <f>G33*AP33</f>
        <v>0</v>
      </c>
      <c r="BJ33" s="16">
        <f>G33*H33</f>
        <v>0</v>
      </c>
    </row>
    <row r="34" spans="1:62" x14ac:dyDescent="0.25">
      <c r="A34" s="6" t="s">
        <v>21</v>
      </c>
      <c r="B34" s="6" t="s">
        <v>57</v>
      </c>
      <c r="C34" s="127" t="s">
        <v>104</v>
      </c>
      <c r="D34" s="128"/>
      <c r="E34" s="128"/>
      <c r="F34" s="6" t="s">
        <v>132</v>
      </c>
      <c r="G34" s="134">
        <v>577.5</v>
      </c>
      <c r="H34" s="17">
        <v>0</v>
      </c>
      <c r="I34" s="17">
        <f>G34*AO34</f>
        <v>0</v>
      </c>
      <c r="J34" s="17">
        <f>G34*AP34</f>
        <v>0</v>
      </c>
      <c r="K34" s="17">
        <f>G34*H34</f>
        <v>0</v>
      </c>
      <c r="L34" s="29" t="s">
        <v>152</v>
      </c>
      <c r="Z34" s="33">
        <f>IF(AQ34="5",BJ34,0)</f>
        <v>0</v>
      </c>
      <c r="AB34" s="33">
        <f>IF(AQ34="1",BH34,0)</f>
        <v>0</v>
      </c>
      <c r="AC34" s="33">
        <f>IF(AQ34="1",BI34,0)</f>
        <v>0</v>
      </c>
      <c r="AD34" s="33">
        <f>IF(AQ34="7",BH34,0)</f>
        <v>0</v>
      </c>
      <c r="AE34" s="33">
        <f>IF(AQ34="7",BI34,0)</f>
        <v>0</v>
      </c>
      <c r="AF34" s="33">
        <f>IF(AQ34="2",BH34,0)</f>
        <v>0</v>
      </c>
      <c r="AG34" s="33">
        <f>IF(AQ34="2",BI34,0)</f>
        <v>0</v>
      </c>
      <c r="AH34" s="33">
        <f>IF(AQ34="0",BJ34,0)</f>
        <v>0</v>
      </c>
      <c r="AI34" s="28"/>
      <c r="AJ34" s="17">
        <f>IF(AN34=0,K34,0)</f>
        <v>0</v>
      </c>
      <c r="AK34" s="17">
        <f>IF(AN34=15,K34,0)</f>
        <v>0</v>
      </c>
      <c r="AL34" s="17">
        <f>IF(AN34=21,K34,0)</f>
        <v>0</v>
      </c>
      <c r="AN34" s="33">
        <v>21</v>
      </c>
      <c r="AO34" s="33">
        <f>H34*1</f>
        <v>0</v>
      </c>
      <c r="AP34" s="33">
        <f>H34*(1-1)</f>
        <v>0</v>
      </c>
      <c r="AQ34" s="29" t="s">
        <v>7</v>
      </c>
      <c r="AV34" s="33">
        <f>AW34+AX34</f>
        <v>0</v>
      </c>
      <c r="AW34" s="33">
        <f>G34*AO34</f>
        <v>0</v>
      </c>
      <c r="AX34" s="33">
        <f>G34*AP34</f>
        <v>0</v>
      </c>
      <c r="AY34" s="34" t="s">
        <v>169</v>
      </c>
      <c r="AZ34" s="34" t="s">
        <v>176</v>
      </c>
      <c r="BA34" s="28" t="s">
        <v>178</v>
      </c>
      <c r="BC34" s="33">
        <f>AW34+AX34</f>
        <v>0</v>
      </c>
      <c r="BD34" s="33">
        <f>H34/(100-BE34)*100</f>
        <v>0</v>
      </c>
      <c r="BE34" s="33">
        <v>0</v>
      </c>
      <c r="BF34" s="33">
        <f>34</f>
        <v>34</v>
      </c>
      <c r="BH34" s="17">
        <f>G34*AO34</f>
        <v>0</v>
      </c>
      <c r="BI34" s="17">
        <f>G34*AP34</f>
        <v>0</v>
      </c>
      <c r="BJ34" s="17">
        <f>G34*H34</f>
        <v>0</v>
      </c>
    </row>
    <row r="35" spans="1:62" x14ac:dyDescent="0.25">
      <c r="A35" s="5"/>
      <c r="B35" s="13" t="s">
        <v>58</v>
      </c>
      <c r="C35" s="125" t="s">
        <v>105</v>
      </c>
      <c r="D35" s="126"/>
      <c r="E35" s="126"/>
      <c r="F35" s="5" t="s">
        <v>6</v>
      </c>
      <c r="G35" s="135" t="s">
        <v>6</v>
      </c>
      <c r="H35" s="5" t="s">
        <v>6</v>
      </c>
      <c r="I35" s="36">
        <f>SUM(I36:I44)</f>
        <v>0</v>
      </c>
      <c r="J35" s="36">
        <f>SUM(J36:J44)</f>
        <v>0</v>
      </c>
      <c r="K35" s="36">
        <f>SUM(K36:K44)</f>
        <v>0</v>
      </c>
      <c r="L35" s="28"/>
      <c r="AI35" s="28"/>
      <c r="AS35" s="36">
        <f>SUM(AJ36:AJ44)</f>
        <v>0</v>
      </c>
      <c r="AT35" s="36">
        <f>SUM(AK36:AK44)</f>
        <v>0</v>
      </c>
      <c r="AU35" s="36">
        <f>SUM(AL36:AL44)</f>
        <v>0</v>
      </c>
    </row>
    <row r="36" spans="1:62" x14ac:dyDescent="0.25">
      <c r="A36" s="4" t="s">
        <v>22</v>
      </c>
      <c r="B36" s="4" t="s">
        <v>59</v>
      </c>
      <c r="C36" s="112" t="s">
        <v>106</v>
      </c>
      <c r="D36" s="113"/>
      <c r="E36" s="113"/>
      <c r="F36" s="4" t="s">
        <v>133</v>
      </c>
      <c r="G36" s="134">
        <v>337.5</v>
      </c>
      <c r="H36" s="16">
        <v>0</v>
      </c>
      <c r="I36" s="16">
        <f t="shared" ref="I36:I44" si="0">G36*AO36</f>
        <v>0</v>
      </c>
      <c r="J36" s="16">
        <f t="shared" ref="J36:J44" si="1">G36*AP36</f>
        <v>0</v>
      </c>
      <c r="K36" s="16">
        <f t="shared" ref="K36:K44" si="2">G36*H36</f>
        <v>0</v>
      </c>
      <c r="L36" s="27" t="s">
        <v>152</v>
      </c>
      <c r="Z36" s="33">
        <f t="shared" ref="Z36:Z44" si="3">IF(AQ36="5",BJ36,0)</f>
        <v>0</v>
      </c>
      <c r="AB36" s="33">
        <f t="shared" ref="AB36:AB44" si="4">IF(AQ36="1",BH36,0)</f>
        <v>0</v>
      </c>
      <c r="AC36" s="33">
        <f t="shared" ref="AC36:AC44" si="5">IF(AQ36="1",BI36,0)</f>
        <v>0</v>
      </c>
      <c r="AD36" s="33">
        <f t="shared" ref="AD36:AD44" si="6">IF(AQ36="7",BH36,0)</f>
        <v>0</v>
      </c>
      <c r="AE36" s="33">
        <f t="shared" ref="AE36:AE44" si="7">IF(AQ36="7",BI36,0)</f>
        <v>0</v>
      </c>
      <c r="AF36" s="33">
        <f t="shared" ref="AF36:AF44" si="8">IF(AQ36="2",BH36,0)</f>
        <v>0</v>
      </c>
      <c r="AG36" s="33">
        <f t="shared" ref="AG36:AG44" si="9">IF(AQ36="2",BI36,0)</f>
        <v>0</v>
      </c>
      <c r="AH36" s="33">
        <f t="shared" ref="AH36:AH44" si="10">IF(AQ36="0",BJ36,0)</f>
        <v>0</v>
      </c>
      <c r="AI36" s="28"/>
      <c r="AJ36" s="16">
        <f t="shared" ref="AJ36:AJ44" si="11">IF(AN36=0,K36,0)</f>
        <v>0</v>
      </c>
      <c r="AK36" s="16">
        <f t="shared" ref="AK36:AK44" si="12">IF(AN36=15,K36,0)</f>
        <v>0</v>
      </c>
      <c r="AL36" s="16">
        <f t="shared" ref="AL36:AL44" si="13">IF(AN36=21,K36,0)</f>
        <v>0</v>
      </c>
      <c r="AN36" s="33">
        <v>21</v>
      </c>
      <c r="AO36" s="33">
        <f>H36*0.635181836742428</f>
        <v>0</v>
      </c>
      <c r="AP36" s="33">
        <f>H36*(1-0.635181836742428)</f>
        <v>0</v>
      </c>
      <c r="AQ36" s="27" t="s">
        <v>7</v>
      </c>
      <c r="AV36" s="33">
        <f t="shared" ref="AV36:AV44" si="14">AW36+AX36</f>
        <v>0</v>
      </c>
      <c r="AW36" s="33">
        <f t="shared" ref="AW36:AW44" si="15">G36*AO36</f>
        <v>0</v>
      </c>
      <c r="AX36" s="33">
        <f t="shared" ref="AX36:AX44" si="16">G36*AP36</f>
        <v>0</v>
      </c>
      <c r="AY36" s="34" t="s">
        <v>170</v>
      </c>
      <c r="AZ36" s="34" t="s">
        <v>177</v>
      </c>
      <c r="BA36" s="28" t="s">
        <v>178</v>
      </c>
      <c r="BC36" s="33">
        <f t="shared" ref="BC36:BC44" si="17">AW36+AX36</f>
        <v>0</v>
      </c>
      <c r="BD36" s="33">
        <f t="shared" ref="BD36:BD44" si="18">H36/(100-BE36)*100</f>
        <v>0</v>
      </c>
      <c r="BE36" s="33">
        <v>0</v>
      </c>
      <c r="BF36" s="33">
        <f>36</f>
        <v>36</v>
      </c>
      <c r="BH36" s="16">
        <f t="shared" ref="BH36:BH44" si="19">G36*AO36</f>
        <v>0</v>
      </c>
      <c r="BI36" s="16">
        <f t="shared" ref="BI36:BI44" si="20">G36*AP36</f>
        <v>0</v>
      </c>
      <c r="BJ36" s="16">
        <f t="shared" ref="BJ36:BJ44" si="21">G36*H36</f>
        <v>0</v>
      </c>
    </row>
    <row r="37" spans="1:62" x14ac:dyDescent="0.25">
      <c r="A37" s="6" t="s">
        <v>23</v>
      </c>
      <c r="B37" s="6" t="s">
        <v>60</v>
      </c>
      <c r="C37" s="127" t="s">
        <v>107</v>
      </c>
      <c r="D37" s="128"/>
      <c r="E37" s="128"/>
      <c r="F37" s="6" t="s">
        <v>135</v>
      </c>
      <c r="G37" s="134">
        <v>354.375</v>
      </c>
      <c r="H37" s="17">
        <v>0</v>
      </c>
      <c r="I37" s="17">
        <f t="shared" si="0"/>
        <v>0</v>
      </c>
      <c r="J37" s="17">
        <f t="shared" si="1"/>
        <v>0</v>
      </c>
      <c r="K37" s="17">
        <f t="shared" si="2"/>
        <v>0</v>
      </c>
      <c r="L37" s="29" t="s">
        <v>152</v>
      </c>
      <c r="Z37" s="33">
        <f t="shared" si="3"/>
        <v>0</v>
      </c>
      <c r="AB37" s="33">
        <f t="shared" si="4"/>
        <v>0</v>
      </c>
      <c r="AC37" s="33">
        <f t="shared" si="5"/>
        <v>0</v>
      </c>
      <c r="AD37" s="33">
        <f t="shared" si="6"/>
        <v>0</v>
      </c>
      <c r="AE37" s="33">
        <f t="shared" si="7"/>
        <v>0</v>
      </c>
      <c r="AF37" s="33">
        <f t="shared" si="8"/>
        <v>0</v>
      </c>
      <c r="AG37" s="33">
        <f t="shared" si="9"/>
        <v>0</v>
      </c>
      <c r="AH37" s="33">
        <f t="shared" si="10"/>
        <v>0</v>
      </c>
      <c r="AI37" s="28"/>
      <c r="AJ37" s="17">
        <f t="shared" si="11"/>
        <v>0</v>
      </c>
      <c r="AK37" s="17">
        <f t="shared" si="12"/>
        <v>0</v>
      </c>
      <c r="AL37" s="17">
        <f t="shared" si="13"/>
        <v>0</v>
      </c>
      <c r="AN37" s="33">
        <v>21</v>
      </c>
      <c r="AO37" s="33">
        <f>H37*1</f>
        <v>0</v>
      </c>
      <c r="AP37" s="33">
        <f>H37*(1-1)</f>
        <v>0</v>
      </c>
      <c r="AQ37" s="29" t="s">
        <v>7</v>
      </c>
      <c r="AV37" s="33">
        <f t="shared" si="14"/>
        <v>0</v>
      </c>
      <c r="AW37" s="33">
        <f t="shared" si="15"/>
        <v>0</v>
      </c>
      <c r="AX37" s="33">
        <f t="shared" si="16"/>
        <v>0</v>
      </c>
      <c r="AY37" s="34" t="s">
        <v>170</v>
      </c>
      <c r="AZ37" s="34" t="s">
        <v>177</v>
      </c>
      <c r="BA37" s="28" t="s">
        <v>178</v>
      </c>
      <c r="BC37" s="33">
        <f t="shared" si="17"/>
        <v>0</v>
      </c>
      <c r="BD37" s="33">
        <f t="shared" si="18"/>
        <v>0</v>
      </c>
      <c r="BE37" s="33">
        <v>0</v>
      </c>
      <c r="BF37" s="33">
        <f>37</f>
        <v>37</v>
      </c>
      <c r="BH37" s="17">
        <f t="shared" si="19"/>
        <v>0</v>
      </c>
      <c r="BI37" s="17">
        <f t="shared" si="20"/>
        <v>0</v>
      </c>
      <c r="BJ37" s="17">
        <f t="shared" si="21"/>
        <v>0</v>
      </c>
    </row>
    <row r="38" spans="1:62" x14ac:dyDescent="0.25">
      <c r="A38" s="4" t="s">
        <v>24</v>
      </c>
      <c r="B38" s="4" t="s">
        <v>61</v>
      </c>
      <c r="C38" s="112" t="s">
        <v>108</v>
      </c>
      <c r="D38" s="113"/>
      <c r="E38" s="113"/>
      <c r="F38" s="4" t="s">
        <v>133</v>
      </c>
      <c r="G38" s="134">
        <v>57.8</v>
      </c>
      <c r="H38" s="16">
        <v>0</v>
      </c>
      <c r="I38" s="16">
        <f t="shared" si="0"/>
        <v>0</v>
      </c>
      <c r="J38" s="16">
        <f t="shared" si="1"/>
        <v>0</v>
      </c>
      <c r="K38" s="16">
        <f t="shared" si="2"/>
        <v>0</v>
      </c>
      <c r="L38" s="27" t="s">
        <v>152</v>
      </c>
      <c r="Z38" s="33">
        <f t="shared" si="3"/>
        <v>0</v>
      </c>
      <c r="AB38" s="33">
        <f t="shared" si="4"/>
        <v>0</v>
      </c>
      <c r="AC38" s="33">
        <f t="shared" si="5"/>
        <v>0</v>
      </c>
      <c r="AD38" s="33">
        <f t="shared" si="6"/>
        <v>0</v>
      </c>
      <c r="AE38" s="33">
        <f t="shared" si="7"/>
        <v>0</v>
      </c>
      <c r="AF38" s="33">
        <f t="shared" si="8"/>
        <v>0</v>
      </c>
      <c r="AG38" s="33">
        <f t="shared" si="9"/>
        <v>0</v>
      </c>
      <c r="AH38" s="33">
        <f t="shared" si="10"/>
        <v>0</v>
      </c>
      <c r="AI38" s="28"/>
      <c r="AJ38" s="16">
        <f t="shared" si="11"/>
        <v>0</v>
      </c>
      <c r="AK38" s="16">
        <f t="shared" si="12"/>
        <v>0</v>
      </c>
      <c r="AL38" s="16">
        <f t="shared" si="13"/>
        <v>0</v>
      </c>
      <c r="AN38" s="33">
        <v>21</v>
      </c>
      <c r="AO38" s="33">
        <f>H38*0.503616902883703</f>
        <v>0</v>
      </c>
      <c r="AP38" s="33">
        <f>H38*(1-0.503616902883703)</f>
        <v>0</v>
      </c>
      <c r="AQ38" s="27" t="s">
        <v>7</v>
      </c>
      <c r="AV38" s="33">
        <f t="shared" si="14"/>
        <v>0</v>
      </c>
      <c r="AW38" s="33">
        <f t="shared" si="15"/>
        <v>0</v>
      </c>
      <c r="AX38" s="33">
        <f t="shared" si="16"/>
        <v>0</v>
      </c>
      <c r="AY38" s="34" t="s">
        <v>170</v>
      </c>
      <c r="AZ38" s="34" t="s">
        <v>177</v>
      </c>
      <c r="BA38" s="28" t="s">
        <v>178</v>
      </c>
      <c r="BC38" s="33">
        <f t="shared" si="17"/>
        <v>0</v>
      </c>
      <c r="BD38" s="33">
        <f t="shared" si="18"/>
        <v>0</v>
      </c>
      <c r="BE38" s="33">
        <v>0</v>
      </c>
      <c r="BF38" s="33">
        <f>38</f>
        <v>38</v>
      </c>
      <c r="BH38" s="16">
        <f t="shared" si="19"/>
        <v>0</v>
      </c>
      <c r="BI38" s="16">
        <f t="shared" si="20"/>
        <v>0</v>
      </c>
      <c r="BJ38" s="16">
        <f t="shared" si="21"/>
        <v>0</v>
      </c>
    </row>
    <row r="39" spans="1:62" x14ac:dyDescent="0.25">
      <c r="A39" s="6" t="s">
        <v>25</v>
      </c>
      <c r="B39" s="6" t="s">
        <v>62</v>
      </c>
      <c r="C39" s="127" t="s">
        <v>109</v>
      </c>
      <c r="D39" s="128"/>
      <c r="E39" s="128"/>
      <c r="F39" s="6" t="s">
        <v>135</v>
      </c>
      <c r="G39" s="134">
        <v>60.69</v>
      </c>
      <c r="H39" s="17">
        <v>0</v>
      </c>
      <c r="I39" s="17">
        <f t="shared" si="0"/>
        <v>0</v>
      </c>
      <c r="J39" s="17">
        <f t="shared" si="1"/>
        <v>0</v>
      </c>
      <c r="K39" s="17">
        <f t="shared" si="2"/>
        <v>0</v>
      </c>
      <c r="L39" s="29" t="s">
        <v>152</v>
      </c>
      <c r="Z39" s="33">
        <f t="shared" si="3"/>
        <v>0</v>
      </c>
      <c r="AB39" s="33">
        <f t="shared" si="4"/>
        <v>0</v>
      </c>
      <c r="AC39" s="33">
        <f t="shared" si="5"/>
        <v>0</v>
      </c>
      <c r="AD39" s="33">
        <f t="shared" si="6"/>
        <v>0</v>
      </c>
      <c r="AE39" s="33">
        <f t="shared" si="7"/>
        <v>0</v>
      </c>
      <c r="AF39" s="33">
        <f t="shared" si="8"/>
        <v>0</v>
      </c>
      <c r="AG39" s="33">
        <f t="shared" si="9"/>
        <v>0</v>
      </c>
      <c r="AH39" s="33">
        <f t="shared" si="10"/>
        <v>0</v>
      </c>
      <c r="AI39" s="28"/>
      <c r="AJ39" s="17">
        <f t="shared" si="11"/>
        <v>0</v>
      </c>
      <c r="AK39" s="17">
        <f t="shared" si="12"/>
        <v>0</v>
      </c>
      <c r="AL39" s="17">
        <f t="shared" si="13"/>
        <v>0</v>
      </c>
      <c r="AN39" s="33">
        <v>21</v>
      </c>
      <c r="AO39" s="33">
        <f>H39*1</f>
        <v>0</v>
      </c>
      <c r="AP39" s="33">
        <f>H39*(1-1)</f>
        <v>0</v>
      </c>
      <c r="AQ39" s="29" t="s">
        <v>7</v>
      </c>
      <c r="AV39" s="33">
        <f t="shared" si="14"/>
        <v>0</v>
      </c>
      <c r="AW39" s="33">
        <f t="shared" si="15"/>
        <v>0</v>
      </c>
      <c r="AX39" s="33">
        <f t="shared" si="16"/>
        <v>0</v>
      </c>
      <c r="AY39" s="34" t="s">
        <v>170</v>
      </c>
      <c r="AZ39" s="34" t="s">
        <v>177</v>
      </c>
      <c r="BA39" s="28" t="s">
        <v>178</v>
      </c>
      <c r="BC39" s="33">
        <f t="shared" si="17"/>
        <v>0</v>
      </c>
      <c r="BD39" s="33">
        <f t="shared" si="18"/>
        <v>0</v>
      </c>
      <c r="BE39" s="33">
        <v>0</v>
      </c>
      <c r="BF39" s="33">
        <f>39</f>
        <v>39</v>
      </c>
      <c r="BH39" s="17">
        <f t="shared" si="19"/>
        <v>0</v>
      </c>
      <c r="BI39" s="17">
        <f t="shared" si="20"/>
        <v>0</v>
      </c>
      <c r="BJ39" s="17">
        <f t="shared" si="21"/>
        <v>0</v>
      </c>
    </row>
    <row r="40" spans="1:62" x14ac:dyDescent="0.25">
      <c r="A40" s="4" t="s">
        <v>26</v>
      </c>
      <c r="B40" s="4" t="s">
        <v>63</v>
      </c>
      <c r="C40" s="112" t="s">
        <v>110</v>
      </c>
      <c r="D40" s="113"/>
      <c r="E40" s="113"/>
      <c r="F40" s="4" t="s">
        <v>133</v>
      </c>
      <c r="G40" s="134">
        <v>135.19999999999999</v>
      </c>
      <c r="H40" s="16">
        <v>0</v>
      </c>
      <c r="I40" s="16">
        <f t="shared" si="0"/>
        <v>0</v>
      </c>
      <c r="J40" s="16">
        <f t="shared" si="1"/>
        <v>0</v>
      </c>
      <c r="K40" s="16">
        <f t="shared" si="2"/>
        <v>0</v>
      </c>
      <c r="L40" s="27" t="s">
        <v>152</v>
      </c>
      <c r="Z40" s="33">
        <f t="shared" si="3"/>
        <v>0</v>
      </c>
      <c r="AB40" s="33">
        <f t="shared" si="4"/>
        <v>0</v>
      </c>
      <c r="AC40" s="33">
        <f t="shared" si="5"/>
        <v>0</v>
      </c>
      <c r="AD40" s="33">
        <f t="shared" si="6"/>
        <v>0</v>
      </c>
      <c r="AE40" s="33">
        <f t="shared" si="7"/>
        <v>0</v>
      </c>
      <c r="AF40" s="33">
        <f t="shared" si="8"/>
        <v>0</v>
      </c>
      <c r="AG40" s="33">
        <f t="shared" si="9"/>
        <v>0</v>
      </c>
      <c r="AH40" s="33">
        <f t="shared" si="10"/>
        <v>0</v>
      </c>
      <c r="AI40" s="28"/>
      <c r="AJ40" s="16">
        <f t="shared" si="11"/>
        <v>0</v>
      </c>
      <c r="AK40" s="16">
        <f t="shared" si="12"/>
        <v>0</v>
      </c>
      <c r="AL40" s="16">
        <f t="shared" si="13"/>
        <v>0</v>
      </c>
      <c r="AN40" s="33">
        <v>21</v>
      </c>
      <c r="AO40" s="33">
        <f>H40*0.560357781753131</f>
        <v>0</v>
      </c>
      <c r="AP40" s="33">
        <f>H40*(1-0.560357781753131)</f>
        <v>0</v>
      </c>
      <c r="AQ40" s="27" t="s">
        <v>7</v>
      </c>
      <c r="AV40" s="33">
        <f t="shared" si="14"/>
        <v>0</v>
      </c>
      <c r="AW40" s="33">
        <f t="shared" si="15"/>
        <v>0</v>
      </c>
      <c r="AX40" s="33">
        <f t="shared" si="16"/>
        <v>0</v>
      </c>
      <c r="AY40" s="34" t="s">
        <v>170</v>
      </c>
      <c r="AZ40" s="34" t="s">
        <v>177</v>
      </c>
      <c r="BA40" s="28" t="s">
        <v>178</v>
      </c>
      <c r="BC40" s="33">
        <f t="shared" si="17"/>
        <v>0</v>
      </c>
      <c r="BD40" s="33">
        <f t="shared" si="18"/>
        <v>0</v>
      </c>
      <c r="BE40" s="33">
        <v>0</v>
      </c>
      <c r="BF40" s="33">
        <f>40</f>
        <v>40</v>
      </c>
      <c r="BH40" s="16">
        <f t="shared" si="19"/>
        <v>0</v>
      </c>
      <c r="BI40" s="16">
        <f t="shared" si="20"/>
        <v>0</v>
      </c>
      <c r="BJ40" s="16">
        <f t="shared" si="21"/>
        <v>0</v>
      </c>
    </row>
    <row r="41" spans="1:62" x14ac:dyDescent="0.25">
      <c r="A41" s="6" t="s">
        <v>27</v>
      </c>
      <c r="B41" s="6" t="s">
        <v>64</v>
      </c>
      <c r="C41" s="127" t="s">
        <v>111</v>
      </c>
      <c r="D41" s="128"/>
      <c r="E41" s="128"/>
      <c r="F41" s="6" t="s">
        <v>135</v>
      </c>
      <c r="G41" s="134">
        <v>141.96</v>
      </c>
      <c r="H41" s="17">
        <v>0</v>
      </c>
      <c r="I41" s="17">
        <f t="shared" si="0"/>
        <v>0</v>
      </c>
      <c r="J41" s="17">
        <f t="shared" si="1"/>
        <v>0</v>
      </c>
      <c r="K41" s="17">
        <f t="shared" si="2"/>
        <v>0</v>
      </c>
      <c r="L41" s="29" t="s">
        <v>152</v>
      </c>
      <c r="Z41" s="33">
        <f t="shared" si="3"/>
        <v>0</v>
      </c>
      <c r="AB41" s="33">
        <f t="shared" si="4"/>
        <v>0</v>
      </c>
      <c r="AC41" s="33">
        <f t="shared" si="5"/>
        <v>0</v>
      </c>
      <c r="AD41" s="33">
        <f t="shared" si="6"/>
        <v>0</v>
      </c>
      <c r="AE41" s="33">
        <f t="shared" si="7"/>
        <v>0</v>
      </c>
      <c r="AF41" s="33">
        <f t="shared" si="8"/>
        <v>0</v>
      </c>
      <c r="AG41" s="33">
        <f t="shared" si="9"/>
        <v>0</v>
      </c>
      <c r="AH41" s="33">
        <f t="shared" si="10"/>
        <v>0</v>
      </c>
      <c r="AI41" s="28"/>
      <c r="AJ41" s="17">
        <f t="shared" si="11"/>
        <v>0</v>
      </c>
      <c r="AK41" s="17">
        <f t="shared" si="12"/>
        <v>0</v>
      </c>
      <c r="AL41" s="17">
        <f t="shared" si="13"/>
        <v>0</v>
      </c>
      <c r="AN41" s="33">
        <v>21</v>
      </c>
      <c r="AO41" s="33">
        <f>H41*1</f>
        <v>0</v>
      </c>
      <c r="AP41" s="33">
        <f>H41*(1-1)</f>
        <v>0</v>
      </c>
      <c r="AQ41" s="29" t="s">
        <v>7</v>
      </c>
      <c r="AV41" s="33">
        <f t="shared" si="14"/>
        <v>0</v>
      </c>
      <c r="AW41" s="33">
        <f t="shared" si="15"/>
        <v>0</v>
      </c>
      <c r="AX41" s="33">
        <f t="shared" si="16"/>
        <v>0</v>
      </c>
      <c r="AY41" s="34" t="s">
        <v>170</v>
      </c>
      <c r="AZ41" s="34" t="s">
        <v>177</v>
      </c>
      <c r="BA41" s="28" t="s">
        <v>178</v>
      </c>
      <c r="BC41" s="33">
        <f t="shared" si="17"/>
        <v>0</v>
      </c>
      <c r="BD41" s="33">
        <f t="shared" si="18"/>
        <v>0</v>
      </c>
      <c r="BE41" s="33">
        <v>0</v>
      </c>
      <c r="BF41" s="33">
        <f>41</f>
        <v>41</v>
      </c>
      <c r="BH41" s="17">
        <f t="shared" si="19"/>
        <v>0</v>
      </c>
      <c r="BI41" s="17">
        <f t="shared" si="20"/>
        <v>0</v>
      </c>
      <c r="BJ41" s="17">
        <f t="shared" si="21"/>
        <v>0</v>
      </c>
    </row>
    <row r="42" spans="1:62" x14ac:dyDescent="0.25">
      <c r="A42" s="4" t="s">
        <v>28</v>
      </c>
      <c r="B42" s="4" t="s">
        <v>65</v>
      </c>
      <c r="C42" s="112" t="s">
        <v>112</v>
      </c>
      <c r="D42" s="113"/>
      <c r="E42" s="113"/>
      <c r="F42" s="4" t="s">
        <v>134</v>
      </c>
      <c r="G42" s="134">
        <v>11.936</v>
      </c>
      <c r="H42" s="16">
        <v>0</v>
      </c>
      <c r="I42" s="16">
        <f t="shared" si="0"/>
        <v>0</v>
      </c>
      <c r="J42" s="16">
        <f t="shared" si="1"/>
        <v>0</v>
      </c>
      <c r="K42" s="16">
        <f t="shared" si="2"/>
        <v>0</v>
      </c>
      <c r="L42" s="27" t="s">
        <v>152</v>
      </c>
      <c r="Z42" s="33">
        <f t="shared" si="3"/>
        <v>0</v>
      </c>
      <c r="AB42" s="33">
        <f t="shared" si="4"/>
        <v>0</v>
      </c>
      <c r="AC42" s="33">
        <f t="shared" si="5"/>
        <v>0</v>
      </c>
      <c r="AD42" s="33">
        <f t="shared" si="6"/>
        <v>0</v>
      </c>
      <c r="AE42" s="33">
        <f t="shared" si="7"/>
        <v>0</v>
      </c>
      <c r="AF42" s="33">
        <f t="shared" si="8"/>
        <v>0</v>
      </c>
      <c r="AG42" s="33">
        <f t="shared" si="9"/>
        <v>0</v>
      </c>
      <c r="AH42" s="33">
        <f t="shared" si="10"/>
        <v>0</v>
      </c>
      <c r="AI42" s="28"/>
      <c r="AJ42" s="16">
        <f t="shared" si="11"/>
        <v>0</v>
      </c>
      <c r="AK42" s="16">
        <f t="shared" si="12"/>
        <v>0</v>
      </c>
      <c r="AL42" s="16">
        <f t="shared" si="13"/>
        <v>0</v>
      </c>
      <c r="AN42" s="33">
        <v>21</v>
      </c>
      <c r="AO42" s="33">
        <f>H42*0.778820286792221</f>
        <v>0</v>
      </c>
      <c r="AP42" s="33">
        <f>H42*(1-0.778820286792221)</f>
        <v>0</v>
      </c>
      <c r="AQ42" s="27" t="s">
        <v>7</v>
      </c>
      <c r="AV42" s="33">
        <f t="shared" si="14"/>
        <v>0</v>
      </c>
      <c r="AW42" s="33">
        <f t="shared" si="15"/>
        <v>0</v>
      </c>
      <c r="AX42" s="33">
        <f t="shared" si="16"/>
        <v>0</v>
      </c>
      <c r="AY42" s="34" t="s">
        <v>170</v>
      </c>
      <c r="AZ42" s="34" t="s">
        <v>177</v>
      </c>
      <c r="BA42" s="28" t="s">
        <v>178</v>
      </c>
      <c r="BC42" s="33">
        <f t="shared" si="17"/>
        <v>0</v>
      </c>
      <c r="BD42" s="33">
        <f t="shared" si="18"/>
        <v>0</v>
      </c>
      <c r="BE42" s="33">
        <v>0</v>
      </c>
      <c r="BF42" s="33">
        <f>42</f>
        <v>42</v>
      </c>
      <c r="BH42" s="16">
        <f t="shared" si="19"/>
        <v>0</v>
      </c>
      <c r="BI42" s="16">
        <f t="shared" si="20"/>
        <v>0</v>
      </c>
      <c r="BJ42" s="16">
        <f t="shared" si="21"/>
        <v>0</v>
      </c>
    </row>
    <row r="43" spans="1:62" x14ac:dyDescent="0.25">
      <c r="A43" s="4" t="s">
        <v>29</v>
      </c>
      <c r="B43" s="4" t="s">
        <v>66</v>
      </c>
      <c r="C43" s="112" t="s">
        <v>113</v>
      </c>
      <c r="D43" s="113"/>
      <c r="E43" s="113"/>
      <c r="F43" s="4" t="s">
        <v>133</v>
      </c>
      <c r="G43" s="134">
        <v>40.799999999999997</v>
      </c>
      <c r="H43" s="16">
        <v>0</v>
      </c>
      <c r="I43" s="16">
        <f t="shared" si="0"/>
        <v>0</v>
      </c>
      <c r="J43" s="16">
        <f t="shared" si="1"/>
        <v>0</v>
      </c>
      <c r="K43" s="16">
        <f t="shared" si="2"/>
        <v>0</v>
      </c>
      <c r="L43" s="27" t="s">
        <v>152</v>
      </c>
      <c r="Z43" s="33">
        <f t="shared" si="3"/>
        <v>0</v>
      </c>
      <c r="AB43" s="33">
        <f t="shared" si="4"/>
        <v>0</v>
      </c>
      <c r="AC43" s="33">
        <f t="shared" si="5"/>
        <v>0</v>
      </c>
      <c r="AD43" s="33">
        <f t="shared" si="6"/>
        <v>0</v>
      </c>
      <c r="AE43" s="33">
        <f t="shared" si="7"/>
        <v>0</v>
      </c>
      <c r="AF43" s="33">
        <f t="shared" si="8"/>
        <v>0</v>
      </c>
      <c r="AG43" s="33">
        <f t="shared" si="9"/>
        <v>0</v>
      </c>
      <c r="AH43" s="33">
        <f t="shared" si="10"/>
        <v>0</v>
      </c>
      <c r="AI43" s="28"/>
      <c r="AJ43" s="16">
        <f t="shared" si="11"/>
        <v>0</v>
      </c>
      <c r="AK43" s="16">
        <f t="shared" si="12"/>
        <v>0</v>
      </c>
      <c r="AL43" s="16">
        <f t="shared" si="13"/>
        <v>0</v>
      </c>
      <c r="AN43" s="33">
        <v>21</v>
      </c>
      <c r="AO43" s="33">
        <f>H43*0</f>
        <v>0</v>
      </c>
      <c r="AP43" s="33">
        <f>H43*(1-0)</f>
        <v>0</v>
      </c>
      <c r="AQ43" s="27" t="s">
        <v>7</v>
      </c>
      <c r="AV43" s="33">
        <f t="shared" si="14"/>
        <v>0</v>
      </c>
      <c r="AW43" s="33">
        <f t="shared" si="15"/>
        <v>0</v>
      </c>
      <c r="AX43" s="33">
        <f t="shared" si="16"/>
        <v>0</v>
      </c>
      <c r="AY43" s="34" t="s">
        <v>170</v>
      </c>
      <c r="AZ43" s="34" t="s">
        <v>177</v>
      </c>
      <c r="BA43" s="28" t="s">
        <v>178</v>
      </c>
      <c r="BC43" s="33">
        <f t="shared" si="17"/>
        <v>0</v>
      </c>
      <c r="BD43" s="33">
        <f t="shared" si="18"/>
        <v>0</v>
      </c>
      <c r="BE43" s="33">
        <v>0</v>
      </c>
      <c r="BF43" s="33">
        <f>43</f>
        <v>43</v>
      </c>
      <c r="BH43" s="16">
        <f t="shared" si="19"/>
        <v>0</v>
      </c>
      <c r="BI43" s="16">
        <f t="shared" si="20"/>
        <v>0</v>
      </c>
      <c r="BJ43" s="16">
        <f t="shared" si="21"/>
        <v>0</v>
      </c>
    </row>
    <row r="44" spans="1:62" x14ac:dyDescent="0.25">
      <c r="A44" s="4" t="s">
        <v>30</v>
      </c>
      <c r="B44" s="4" t="s">
        <v>67</v>
      </c>
      <c r="C44" s="112" t="s">
        <v>114</v>
      </c>
      <c r="D44" s="113"/>
      <c r="E44" s="113"/>
      <c r="F44" s="4" t="s">
        <v>133</v>
      </c>
      <c r="G44" s="134">
        <v>30.8</v>
      </c>
      <c r="H44" s="16">
        <v>0</v>
      </c>
      <c r="I44" s="16">
        <f t="shared" si="0"/>
        <v>0</v>
      </c>
      <c r="J44" s="16">
        <f t="shared" si="1"/>
        <v>0</v>
      </c>
      <c r="K44" s="16">
        <f t="shared" si="2"/>
        <v>0</v>
      </c>
      <c r="L44" s="27" t="s">
        <v>152</v>
      </c>
      <c r="Z44" s="33">
        <f t="shared" si="3"/>
        <v>0</v>
      </c>
      <c r="AB44" s="33">
        <f t="shared" si="4"/>
        <v>0</v>
      </c>
      <c r="AC44" s="33">
        <f t="shared" si="5"/>
        <v>0</v>
      </c>
      <c r="AD44" s="33">
        <f t="shared" si="6"/>
        <v>0</v>
      </c>
      <c r="AE44" s="33">
        <f t="shared" si="7"/>
        <v>0</v>
      </c>
      <c r="AF44" s="33">
        <f t="shared" si="8"/>
        <v>0</v>
      </c>
      <c r="AG44" s="33">
        <f t="shared" si="9"/>
        <v>0</v>
      </c>
      <c r="AH44" s="33">
        <f t="shared" si="10"/>
        <v>0</v>
      </c>
      <c r="AI44" s="28"/>
      <c r="AJ44" s="16">
        <f t="shared" si="11"/>
        <v>0</v>
      </c>
      <c r="AK44" s="16">
        <f t="shared" si="12"/>
        <v>0</v>
      </c>
      <c r="AL44" s="16">
        <f t="shared" si="13"/>
        <v>0</v>
      </c>
      <c r="AN44" s="33">
        <v>21</v>
      </c>
      <c r="AO44" s="33">
        <f>H44*0</f>
        <v>0</v>
      </c>
      <c r="AP44" s="33">
        <f>H44*(1-0)</f>
        <v>0</v>
      </c>
      <c r="AQ44" s="27" t="s">
        <v>7</v>
      </c>
      <c r="AV44" s="33">
        <f t="shared" si="14"/>
        <v>0</v>
      </c>
      <c r="AW44" s="33">
        <f t="shared" si="15"/>
        <v>0</v>
      </c>
      <c r="AX44" s="33">
        <f t="shared" si="16"/>
        <v>0</v>
      </c>
      <c r="AY44" s="34" t="s">
        <v>170</v>
      </c>
      <c r="AZ44" s="34" t="s">
        <v>177</v>
      </c>
      <c r="BA44" s="28" t="s">
        <v>178</v>
      </c>
      <c r="BC44" s="33">
        <f t="shared" si="17"/>
        <v>0</v>
      </c>
      <c r="BD44" s="33">
        <f t="shared" si="18"/>
        <v>0</v>
      </c>
      <c r="BE44" s="33">
        <v>0</v>
      </c>
      <c r="BF44" s="33">
        <f>44</f>
        <v>44</v>
      </c>
      <c r="BH44" s="16">
        <f t="shared" si="19"/>
        <v>0</v>
      </c>
      <c r="BI44" s="16">
        <f t="shared" si="20"/>
        <v>0</v>
      </c>
      <c r="BJ44" s="16">
        <f t="shared" si="21"/>
        <v>0</v>
      </c>
    </row>
    <row r="45" spans="1:62" x14ac:dyDescent="0.25">
      <c r="A45" s="5"/>
      <c r="B45" s="13" t="s">
        <v>68</v>
      </c>
      <c r="C45" s="125" t="s">
        <v>115</v>
      </c>
      <c r="D45" s="126"/>
      <c r="E45" s="126"/>
      <c r="F45" s="5" t="s">
        <v>6</v>
      </c>
      <c r="G45" s="135" t="s">
        <v>6</v>
      </c>
      <c r="H45" s="5" t="s">
        <v>6</v>
      </c>
      <c r="I45" s="36">
        <f>SUM(I46:I46)</f>
        <v>0</v>
      </c>
      <c r="J45" s="36">
        <f>SUM(J46:J46)</f>
        <v>0</v>
      </c>
      <c r="K45" s="36">
        <f>SUM(K46:K46)</f>
        <v>0</v>
      </c>
      <c r="L45" s="28"/>
      <c r="AI45" s="28"/>
      <c r="AS45" s="36">
        <f>SUM(AJ46:AJ46)</f>
        <v>0</v>
      </c>
      <c r="AT45" s="36">
        <f>SUM(AK46:AK46)</f>
        <v>0</v>
      </c>
      <c r="AU45" s="36">
        <f>SUM(AL46:AL46)</f>
        <v>0</v>
      </c>
    </row>
    <row r="46" spans="1:62" x14ac:dyDescent="0.25">
      <c r="A46" s="4" t="s">
        <v>31</v>
      </c>
      <c r="B46" s="4" t="s">
        <v>69</v>
      </c>
      <c r="C46" s="112" t="s">
        <v>116</v>
      </c>
      <c r="D46" s="113"/>
      <c r="E46" s="113"/>
      <c r="F46" s="4" t="s">
        <v>135</v>
      </c>
      <c r="G46" s="134">
        <v>16</v>
      </c>
      <c r="H46" s="16">
        <v>0</v>
      </c>
      <c r="I46" s="16">
        <f>G46*AO46</f>
        <v>0</v>
      </c>
      <c r="J46" s="16">
        <f>G46*AP46</f>
        <v>0</v>
      </c>
      <c r="K46" s="16">
        <f>G46*H46</f>
        <v>0</v>
      </c>
      <c r="L46" s="27" t="s">
        <v>152</v>
      </c>
      <c r="Z46" s="33">
        <f>IF(AQ46="5",BJ46,0)</f>
        <v>0</v>
      </c>
      <c r="AB46" s="33">
        <f>IF(AQ46="1",BH46,0)</f>
        <v>0</v>
      </c>
      <c r="AC46" s="33">
        <f>IF(AQ46="1",BI46,0)</f>
        <v>0</v>
      </c>
      <c r="AD46" s="33">
        <f>IF(AQ46="7",BH46,0)</f>
        <v>0</v>
      </c>
      <c r="AE46" s="33">
        <f>IF(AQ46="7",BI46,0)</f>
        <v>0</v>
      </c>
      <c r="AF46" s="33">
        <f>IF(AQ46="2",BH46,0)</f>
        <v>0</v>
      </c>
      <c r="AG46" s="33">
        <f>IF(AQ46="2",BI46,0)</f>
        <v>0</v>
      </c>
      <c r="AH46" s="33">
        <f>IF(AQ46="0",BJ46,0)</f>
        <v>0</v>
      </c>
      <c r="AI46" s="28"/>
      <c r="AJ46" s="16">
        <f>IF(AN46=0,K46,0)</f>
        <v>0</v>
      </c>
      <c r="AK46" s="16">
        <f>IF(AN46=15,K46,0)</f>
        <v>0</v>
      </c>
      <c r="AL46" s="16">
        <f>IF(AN46=21,K46,0)</f>
        <v>0</v>
      </c>
      <c r="AN46" s="33">
        <v>21</v>
      </c>
      <c r="AO46" s="33">
        <f>H46*0.0685411764705882</f>
        <v>0</v>
      </c>
      <c r="AP46" s="33">
        <f>H46*(1-0.0685411764705882)</f>
        <v>0</v>
      </c>
      <c r="AQ46" s="27" t="s">
        <v>7</v>
      </c>
      <c r="AV46" s="33">
        <f>AW46+AX46</f>
        <v>0</v>
      </c>
      <c r="AW46" s="33">
        <f>G46*AO46</f>
        <v>0</v>
      </c>
      <c r="AX46" s="33">
        <f>G46*AP46</f>
        <v>0</v>
      </c>
      <c r="AY46" s="34" t="s">
        <v>171</v>
      </c>
      <c r="AZ46" s="34" t="s">
        <v>177</v>
      </c>
      <c r="BA46" s="28" t="s">
        <v>178</v>
      </c>
      <c r="BC46" s="33">
        <f>AW46+AX46</f>
        <v>0</v>
      </c>
      <c r="BD46" s="33">
        <f>H46/(100-BE46)*100</f>
        <v>0</v>
      </c>
      <c r="BE46" s="33">
        <v>0</v>
      </c>
      <c r="BF46" s="33">
        <f>46</f>
        <v>46</v>
      </c>
      <c r="BH46" s="16">
        <f>G46*AO46</f>
        <v>0</v>
      </c>
      <c r="BI46" s="16">
        <f>G46*AP46</f>
        <v>0</v>
      </c>
      <c r="BJ46" s="16">
        <f>G46*H46</f>
        <v>0</v>
      </c>
    </row>
    <row r="47" spans="1:62" x14ac:dyDescent="0.25">
      <c r="A47" s="5"/>
      <c r="B47" s="13" t="s">
        <v>70</v>
      </c>
      <c r="C47" s="125" t="s">
        <v>117</v>
      </c>
      <c r="D47" s="126"/>
      <c r="E47" s="126"/>
      <c r="F47" s="5" t="s">
        <v>6</v>
      </c>
      <c r="G47" s="135" t="s">
        <v>6</v>
      </c>
      <c r="H47" s="5" t="s">
        <v>6</v>
      </c>
      <c r="I47" s="36">
        <f>SUM(I48:I48)</f>
        <v>0</v>
      </c>
      <c r="J47" s="36">
        <f>SUM(J48:J48)</f>
        <v>0</v>
      </c>
      <c r="K47" s="36">
        <f>SUM(K48:K48)</f>
        <v>0</v>
      </c>
      <c r="L47" s="28"/>
      <c r="AI47" s="28"/>
      <c r="AS47" s="36">
        <f>SUM(AJ48:AJ48)</f>
        <v>0</v>
      </c>
      <c r="AT47" s="36">
        <f>SUM(AK48:AK48)</f>
        <v>0</v>
      </c>
      <c r="AU47" s="36">
        <f>SUM(AL48:AL48)</f>
        <v>0</v>
      </c>
    </row>
    <row r="48" spans="1:62" x14ac:dyDescent="0.25">
      <c r="A48" s="4" t="s">
        <v>32</v>
      </c>
      <c r="B48" s="4" t="s">
        <v>71</v>
      </c>
      <c r="C48" s="112" t="s">
        <v>118</v>
      </c>
      <c r="D48" s="113"/>
      <c r="E48" s="113"/>
      <c r="F48" s="4" t="s">
        <v>136</v>
      </c>
      <c r="G48" s="134">
        <v>484.96699999999998</v>
      </c>
      <c r="H48" s="16">
        <v>0</v>
      </c>
      <c r="I48" s="16">
        <f>G48*AO48</f>
        <v>0</v>
      </c>
      <c r="J48" s="16">
        <f>G48*AP48</f>
        <v>0</v>
      </c>
      <c r="K48" s="16">
        <f>G48*H48</f>
        <v>0</v>
      </c>
      <c r="L48" s="27" t="s">
        <v>152</v>
      </c>
      <c r="Z48" s="33">
        <f>IF(AQ48="5",BJ48,0)</f>
        <v>0</v>
      </c>
      <c r="AB48" s="33">
        <f>IF(AQ48="1",BH48,0)</f>
        <v>0</v>
      </c>
      <c r="AC48" s="33">
        <f>IF(AQ48="1",BI48,0)</f>
        <v>0</v>
      </c>
      <c r="AD48" s="33">
        <f>IF(AQ48="7",BH48,0)</f>
        <v>0</v>
      </c>
      <c r="AE48" s="33">
        <f>IF(AQ48="7",BI48,0)</f>
        <v>0</v>
      </c>
      <c r="AF48" s="33">
        <f>IF(AQ48="2",BH48,0)</f>
        <v>0</v>
      </c>
      <c r="AG48" s="33">
        <f>IF(AQ48="2",BI48,0)</f>
        <v>0</v>
      </c>
      <c r="AH48" s="33">
        <f>IF(AQ48="0",BJ48,0)</f>
        <v>0</v>
      </c>
      <c r="AI48" s="28"/>
      <c r="AJ48" s="16">
        <f>IF(AN48=0,K48,0)</f>
        <v>0</v>
      </c>
      <c r="AK48" s="16">
        <f>IF(AN48=15,K48,0)</f>
        <v>0</v>
      </c>
      <c r="AL48" s="16">
        <f>IF(AN48=21,K48,0)</f>
        <v>0</v>
      </c>
      <c r="AN48" s="33">
        <v>21</v>
      </c>
      <c r="AO48" s="33">
        <f>H48*0</f>
        <v>0</v>
      </c>
      <c r="AP48" s="33">
        <f>H48*(1-0)</f>
        <v>0</v>
      </c>
      <c r="AQ48" s="27" t="s">
        <v>11</v>
      </c>
      <c r="AV48" s="33">
        <f>AW48+AX48</f>
        <v>0</v>
      </c>
      <c r="AW48" s="33">
        <f>G48*AO48</f>
        <v>0</v>
      </c>
      <c r="AX48" s="33">
        <f>G48*AP48</f>
        <v>0</v>
      </c>
      <c r="AY48" s="34" t="s">
        <v>172</v>
      </c>
      <c r="AZ48" s="34" t="s">
        <v>177</v>
      </c>
      <c r="BA48" s="28" t="s">
        <v>178</v>
      </c>
      <c r="BC48" s="33">
        <f>AW48+AX48</f>
        <v>0</v>
      </c>
      <c r="BD48" s="33">
        <f>H48/(100-BE48)*100</f>
        <v>0</v>
      </c>
      <c r="BE48" s="33">
        <v>0</v>
      </c>
      <c r="BF48" s="33">
        <f>48</f>
        <v>48</v>
      </c>
      <c r="BH48" s="16">
        <f>G48*AO48</f>
        <v>0</v>
      </c>
      <c r="BI48" s="16">
        <f>G48*AP48</f>
        <v>0</v>
      </c>
      <c r="BJ48" s="16">
        <f>G48*H48</f>
        <v>0</v>
      </c>
    </row>
    <row r="49" spans="1:62" x14ac:dyDescent="0.25">
      <c r="A49" s="5"/>
      <c r="B49" s="13" t="s">
        <v>72</v>
      </c>
      <c r="C49" s="125" t="s">
        <v>119</v>
      </c>
      <c r="D49" s="126"/>
      <c r="E49" s="126"/>
      <c r="F49" s="5" t="s">
        <v>6</v>
      </c>
      <c r="G49" s="135" t="s">
        <v>6</v>
      </c>
      <c r="H49" s="5" t="s">
        <v>6</v>
      </c>
      <c r="I49" s="36">
        <f>SUM(I50:I52)</f>
        <v>0</v>
      </c>
      <c r="J49" s="36">
        <f>SUM(J50:J52)</f>
        <v>0</v>
      </c>
      <c r="K49" s="36">
        <f>SUM(K50:K52)</f>
        <v>0</v>
      </c>
      <c r="L49" s="28"/>
      <c r="AI49" s="28"/>
      <c r="AS49" s="36">
        <f>SUM(AJ50:AJ52)</f>
        <v>0</v>
      </c>
      <c r="AT49" s="36">
        <f>SUM(AK50:AK52)</f>
        <v>0</v>
      </c>
      <c r="AU49" s="36">
        <f>SUM(AL50:AL52)</f>
        <v>0</v>
      </c>
    </row>
    <row r="50" spans="1:62" x14ac:dyDescent="0.25">
      <c r="A50" s="4" t="s">
        <v>33</v>
      </c>
      <c r="B50" s="4" t="s">
        <v>73</v>
      </c>
      <c r="C50" s="112" t="s">
        <v>120</v>
      </c>
      <c r="D50" s="113"/>
      <c r="E50" s="113"/>
      <c r="F50" s="4" t="s">
        <v>136</v>
      </c>
      <c r="G50" s="134">
        <v>388.76799999999997</v>
      </c>
      <c r="H50" s="16">
        <v>0</v>
      </c>
      <c r="I50" s="16">
        <f>G50*AO50</f>
        <v>0</v>
      </c>
      <c r="J50" s="16">
        <f>G50*AP50</f>
        <v>0</v>
      </c>
      <c r="K50" s="16">
        <f>G50*H50</f>
        <v>0</v>
      </c>
      <c r="L50" s="27" t="s">
        <v>152</v>
      </c>
      <c r="Z50" s="33">
        <f>IF(AQ50="5",BJ50,0)</f>
        <v>0</v>
      </c>
      <c r="AB50" s="33">
        <f>IF(AQ50="1",BH50,0)</f>
        <v>0</v>
      </c>
      <c r="AC50" s="33">
        <f>IF(AQ50="1",BI50,0)</f>
        <v>0</v>
      </c>
      <c r="AD50" s="33">
        <f>IF(AQ50="7",BH50,0)</f>
        <v>0</v>
      </c>
      <c r="AE50" s="33">
        <f>IF(AQ50="7",BI50,0)</f>
        <v>0</v>
      </c>
      <c r="AF50" s="33">
        <f>IF(AQ50="2",BH50,0)</f>
        <v>0</v>
      </c>
      <c r="AG50" s="33">
        <f>IF(AQ50="2",BI50,0)</f>
        <v>0</v>
      </c>
      <c r="AH50" s="33">
        <f>IF(AQ50="0",BJ50,0)</f>
        <v>0</v>
      </c>
      <c r="AI50" s="28"/>
      <c r="AJ50" s="16">
        <f>IF(AN50=0,K50,0)</f>
        <v>0</v>
      </c>
      <c r="AK50" s="16">
        <f>IF(AN50=15,K50,0)</f>
        <v>0</v>
      </c>
      <c r="AL50" s="16">
        <f>IF(AN50=21,K50,0)</f>
        <v>0</v>
      </c>
      <c r="AN50" s="33">
        <v>21</v>
      </c>
      <c r="AO50" s="33">
        <f>H50*0</f>
        <v>0</v>
      </c>
      <c r="AP50" s="33">
        <f>H50*(1-0)</f>
        <v>0</v>
      </c>
      <c r="AQ50" s="27" t="s">
        <v>11</v>
      </c>
      <c r="AV50" s="33">
        <f>AW50+AX50</f>
        <v>0</v>
      </c>
      <c r="AW50" s="33">
        <f>G50*AO50</f>
        <v>0</v>
      </c>
      <c r="AX50" s="33">
        <f>G50*AP50</f>
        <v>0</v>
      </c>
      <c r="AY50" s="34" t="s">
        <v>173</v>
      </c>
      <c r="AZ50" s="34" t="s">
        <v>177</v>
      </c>
      <c r="BA50" s="28" t="s">
        <v>178</v>
      </c>
      <c r="BC50" s="33">
        <f>AW50+AX50</f>
        <v>0</v>
      </c>
      <c r="BD50" s="33">
        <f>H50/(100-BE50)*100</f>
        <v>0</v>
      </c>
      <c r="BE50" s="33">
        <v>0</v>
      </c>
      <c r="BF50" s="33">
        <f>50</f>
        <v>50</v>
      </c>
      <c r="BH50" s="16">
        <f>G50*AO50</f>
        <v>0</v>
      </c>
      <c r="BI50" s="16">
        <f>G50*AP50</f>
        <v>0</v>
      </c>
      <c r="BJ50" s="16">
        <f>G50*H50</f>
        <v>0</v>
      </c>
    </row>
    <row r="51" spans="1:62" x14ac:dyDescent="0.25">
      <c r="A51" s="4" t="s">
        <v>34</v>
      </c>
      <c r="B51" s="4" t="s">
        <v>74</v>
      </c>
      <c r="C51" s="112" t="s">
        <v>121</v>
      </c>
      <c r="D51" s="113"/>
      <c r="E51" s="113"/>
      <c r="F51" s="4" t="s">
        <v>136</v>
      </c>
      <c r="G51" s="134">
        <v>388.76799999999997</v>
      </c>
      <c r="H51" s="16">
        <v>0</v>
      </c>
      <c r="I51" s="16">
        <f>G51*AO51</f>
        <v>0</v>
      </c>
      <c r="J51" s="16">
        <f>G51*AP51</f>
        <v>0</v>
      </c>
      <c r="K51" s="16">
        <f>G51*H51</f>
        <v>0</v>
      </c>
      <c r="L51" s="27" t="s">
        <v>152</v>
      </c>
      <c r="Z51" s="33">
        <f>IF(AQ51="5",BJ51,0)</f>
        <v>0</v>
      </c>
      <c r="AB51" s="33">
        <f>IF(AQ51="1",BH51,0)</f>
        <v>0</v>
      </c>
      <c r="AC51" s="33">
        <f>IF(AQ51="1",BI51,0)</f>
        <v>0</v>
      </c>
      <c r="AD51" s="33">
        <f>IF(AQ51="7",BH51,0)</f>
        <v>0</v>
      </c>
      <c r="AE51" s="33">
        <f>IF(AQ51="7",BI51,0)</f>
        <v>0</v>
      </c>
      <c r="AF51" s="33">
        <f>IF(AQ51="2",BH51,0)</f>
        <v>0</v>
      </c>
      <c r="AG51" s="33">
        <f>IF(AQ51="2",BI51,0)</f>
        <v>0</v>
      </c>
      <c r="AH51" s="33">
        <f>IF(AQ51="0",BJ51,0)</f>
        <v>0</v>
      </c>
      <c r="AI51" s="28"/>
      <c r="AJ51" s="16">
        <f>IF(AN51=0,K51,0)</f>
        <v>0</v>
      </c>
      <c r="AK51" s="16">
        <f>IF(AN51=15,K51,0)</f>
        <v>0</v>
      </c>
      <c r="AL51" s="16">
        <f>IF(AN51=21,K51,0)</f>
        <v>0</v>
      </c>
      <c r="AN51" s="33">
        <v>21</v>
      </c>
      <c r="AO51" s="33">
        <f>H51*0</f>
        <v>0</v>
      </c>
      <c r="AP51" s="33">
        <f>H51*(1-0)</f>
        <v>0</v>
      </c>
      <c r="AQ51" s="27" t="s">
        <v>11</v>
      </c>
      <c r="AV51" s="33">
        <f>AW51+AX51</f>
        <v>0</v>
      </c>
      <c r="AW51" s="33">
        <f>G51*AO51</f>
        <v>0</v>
      </c>
      <c r="AX51" s="33">
        <f>G51*AP51</f>
        <v>0</v>
      </c>
      <c r="AY51" s="34" t="s">
        <v>173</v>
      </c>
      <c r="AZ51" s="34" t="s">
        <v>177</v>
      </c>
      <c r="BA51" s="28" t="s">
        <v>178</v>
      </c>
      <c r="BC51" s="33">
        <f>AW51+AX51</f>
        <v>0</v>
      </c>
      <c r="BD51" s="33">
        <f>H51/(100-BE51)*100</f>
        <v>0</v>
      </c>
      <c r="BE51" s="33">
        <v>0</v>
      </c>
      <c r="BF51" s="33">
        <f>51</f>
        <v>51</v>
      </c>
      <c r="BH51" s="16">
        <f>G51*AO51</f>
        <v>0</v>
      </c>
      <c r="BI51" s="16">
        <f>G51*AP51</f>
        <v>0</v>
      </c>
      <c r="BJ51" s="16">
        <f>G51*H51</f>
        <v>0</v>
      </c>
    </row>
    <row r="52" spans="1:62" x14ac:dyDescent="0.25">
      <c r="A52" s="4" t="s">
        <v>35</v>
      </c>
      <c r="B52" s="4" t="s">
        <v>75</v>
      </c>
      <c r="C52" s="112" t="s">
        <v>122</v>
      </c>
      <c r="D52" s="113"/>
      <c r="E52" s="113"/>
      <c r="F52" s="4" t="s">
        <v>136</v>
      </c>
      <c r="G52" s="134">
        <v>388.76799999999997</v>
      </c>
      <c r="H52" s="16">
        <v>0</v>
      </c>
      <c r="I52" s="16">
        <f>G52*AO52</f>
        <v>0</v>
      </c>
      <c r="J52" s="16">
        <f>G52*AP52</f>
        <v>0</v>
      </c>
      <c r="K52" s="16">
        <f>G52*H52</f>
        <v>0</v>
      </c>
      <c r="L52" s="27" t="s">
        <v>152</v>
      </c>
      <c r="Z52" s="33">
        <f>IF(AQ52="5",BJ52,0)</f>
        <v>0</v>
      </c>
      <c r="AB52" s="33">
        <f>IF(AQ52="1",BH52,0)</f>
        <v>0</v>
      </c>
      <c r="AC52" s="33">
        <f>IF(AQ52="1",BI52,0)</f>
        <v>0</v>
      </c>
      <c r="AD52" s="33">
        <f>IF(AQ52="7",BH52,0)</f>
        <v>0</v>
      </c>
      <c r="AE52" s="33">
        <f>IF(AQ52="7",BI52,0)</f>
        <v>0</v>
      </c>
      <c r="AF52" s="33">
        <f>IF(AQ52="2",BH52,0)</f>
        <v>0</v>
      </c>
      <c r="AG52" s="33">
        <f>IF(AQ52="2",BI52,0)</f>
        <v>0</v>
      </c>
      <c r="AH52" s="33">
        <f>IF(AQ52="0",BJ52,0)</f>
        <v>0</v>
      </c>
      <c r="AI52" s="28"/>
      <c r="AJ52" s="16">
        <f>IF(AN52=0,K52,0)</f>
        <v>0</v>
      </c>
      <c r="AK52" s="16">
        <f>IF(AN52=15,K52,0)</f>
        <v>0</v>
      </c>
      <c r="AL52" s="16">
        <f>IF(AN52=21,K52,0)</f>
        <v>0</v>
      </c>
      <c r="AN52" s="33">
        <v>21</v>
      </c>
      <c r="AO52" s="33">
        <f>H52*0</f>
        <v>0</v>
      </c>
      <c r="AP52" s="33">
        <f>H52*(1-0)</f>
        <v>0</v>
      </c>
      <c r="AQ52" s="27" t="s">
        <v>11</v>
      </c>
      <c r="AV52" s="33">
        <f>AW52+AX52</f>
        <v>0</v>
      </c>
      <c r="AW52" s="33">
        <f>G52*AO52</f>
        <v>0</v>
      </c>
      <c r="AX52" s="33">
        <f>G52*AP52</f>
        <v>0</v>
      </c>
      <c r="AY52" s="34" t="s">
        <v>173</v>
      </c>
      <c r="AZ52" s="34" t="s">
        <v>177</v>
      </c>
      <c r="BA52" s="28" t="s">
        <v>178</v>
      </c>
      <c r="BC52" s="33">
        <f>AW52+AX52</f>
        <v>0</v>
      </c>
      <c r="BD52" s="33">
        <f>H52/(100-BE52)*100</f>
        <v>0</v>
      </c>
      <c r="BE52" s="33">
        <v>0</v>
      </c>
      <c r="BF52" s="33">
        <f>52</f>
        <v>52</v>
      </c>
      <c r="BH52" s="16">
        <f>G52*AO52</f>
        <v>0</v>
      </c>
      <c r="BI52" s="16">
        <f>G52*AP52</f>
        <v>0</v>
      </c>
      <c r="BJ52" s="16">
        <f>G52*H52</f>
        <v>0</v>
      </c>
    </row>
    <row r="53" spans="1:62" x14ac:dyDescent="0.25">
      <c r="A53" s="5"/>
      <c r="B53" s="13" t="s">
        <v>76</v>
      </c>
      <c r="C53" s="125" t="s">
        <v>123</v>
      </c>
      <c r="D53" s="126"/>
      <c r="E53" s="126"/>
      <c r="F53" s="5" t="s">
        <v>6</v>
      </c>
      <c r="G53" s="135" t="s">
        <v>6</v>
      </c>
      <c r="H53" s="5" t="s">
        <v>6</v>
      </c>
      <c r="I53" s="36">
        <f>SUM(I54:I56)</f>
        <v>0</v>
      </c>
      <c r="J53" s="36">
        <f>SUM(J54:J56)</f>
        <v>0</v>
      </c>
      <c r="K53" s="36">
        <f>SUM(K54:K56)</f>
        <v>0</v>
      </c>
      <c r="L53" s="28"/>
      <c r="AI53" s="28"/>
      <c r="AS53" s="36">
        <f>SUM(AJ54:AJ56)</f>
        <v>0</v>
      </c>
      <c r="AT53" s="36">
        <f>SUM(AK54:AK56)</f>
        <v>0</v>
      </c>
      <c r="AU53" s="36">
        <f>SUM(AL54:AL56)</f>
        <v>0</v>
      </c>
    </row>
    <row r="54" spans="1:62" x14ac:dyDescent="0.25">
      <c r="A54" s="4" t="s">
        <v>36</v>
      </c>
      <c r="B54" s="4" t="s">
        <v>77</v>
      </c>
      <c r="C54" s="112" t="s">
        <v>124</v>
      </c>
      <c r="D54" s="113"/>
      <c r="E54" s="113"/>
      <c r="F54" s="4" t="s">
        <v>135</v>
      </c>
      <c r="G54" s="134">
        <v>1</v>
      </c>
      <c r="H54" s="16">
        <v>0</v>
      </c>
      <c r="I54" s="16">
        <f>G54*AO54</f>
        <v>0</v>
      </c>
      <c r="J54" s="16">
        <f>G54*AP54</f>
        <v>0</v>
      </c>
      <c r="K54" s="16">
        <f>G54*H54</f>
        <v>0</v>
      </c>
      <c r="L54" s="27" t="s">
        <v>152</v>
      </c>
      <c r="Z54" s="33">
        <f>IF(AQ54="5",BJ54,0)</f>
        <v>0</v>
      </c>
      <c r="AB54" s="33">
        <f>IF(AQ54="1",BH54,0)</f>
        <v>0</v>
      </c>
      <c r="AC54" s="33">
        <f>IF(AQ54="1",BI54,0)</f>
        <v>0</v>
      </c>
      <c r="AD54" s="33">
        <f>IF(AQ54="7",BH54,0)</f>
        <v>0</v>
      </c>
      <c r="AE54" s="33">
        <f>IF(AQ54="7",BI54,0)</f>
        <v>0</v>
      </c>
      <c r="AF54" s="33">
        <f>IF(AQ54="2",BH54,0)</f>
        <v>0</v>
      </c>
      <c r="AG54" s="33">
        <f>IF(AQ54="2",BI54,0)</f>
        <v>0</v>
      </c>
      <c r="AH54" s="33">
        <f>IF(AQ54="0",BJ54,0)</f>
        <v>0</v>
      </c>
      <c r="AI54" s="28"/>
      <c r="AJ54" s="16">
        <f>IF(AN54=0,K54,0)</f>
        <v>0</v>
      </c>
      <c r="AK54" s="16">
        <f>IF(AN54=15,K54,0)</f>
        <v>0</v>
      </c>
      <c r="AL54" s="16">
        <f>IF(AN54=21,K54,0)</f>
        <v>0</v>
      </c>
      <c r="AN54" s="33">
        <v>21</v>
      </c>
      <c r="AO54" s="33">
        <f>H54*0</f>
        <v>0</v>
      </c>
      <c r="AP54" s="33">
        <f>H54*(1-0)</f>
        <v>0</v>
      </c>
      <c r="AQ54" s="27" t="s">
        <v>7</v>
      </c>
      <c r="AV54" s="33">
        <f>AW54+AX54</f>
        <v>0</v>
      </c>
      <c r="AW54" s="33">
        <f>G54*AO54</f>
        <v>0</v>
      </c>
      <c r="AX54" s="33">
        <f>G54*AP54</f>
        <v>0</v>
      </c>
      <c r="AY54" s="34" t="s">
        <v>174</v>
      </c>
      <c r="AZ54" s="34" t="s">
        <v>177</v>
      </c>
      <c r="BA54" s="28" t="s">
        <v>178</v>
      </c>
      <c r="BC54" s="33">
        <f>AW54+AX54</f>
        <v>0</v>
      </c>
      <c r="BD54" s="33">
        <f>H54/(100-BE54)*100</f>
        <v>0</v>
      </c>
      <c r="BE54" s="33">
        <v>0</v>
      </c>
      <c r="BF54" s="33">
        <f>54</f>
        <v>54</v>
      </c>
      <c r="BH54" s="16">
        <f>G54*AO54</f>
        <v>0</v>
      </c>
      <c r="BI54" s="16">
        <f>G54*AP54</f>
        <v>0</v>
      </c>
      <c r="BJ54" s="16">
        <f>G54*H54</f>
        <v>0</v>
      </c>
    </row>
    <row r="55" spans="1:62" x14ac:dyDescent="0.25">
      <c r="A55" s="4" t="s">
        <v>37</v>
      </c>
      <c r="B55" s="4" t="s">
        <v>78</v>
      </c>
      <c r="C55" s="112" t="s">
        <v>125</v>
      </c>
      <c r="D55" s="113"/>
      <c r="E55" s="113"/>
      <c r="F55" s="4" t="s">
        <v>135</v>
      </c>
      <c r="G55" s="134">
        <v>1</v>
      </c>
      <c r="H55" s="16">
        <v>0</v>
      </c>
      <c r="I55" s="16">
        <f>G55*AO55</f>
        <v>0</v>
      </c>
      <c r="J55" s="16">
        <f>G55*AP55</f>
        <v>0</v>
      </c>
      <c r="K55" s="16">
        <f>G55*H55</f>
        <v>0</v>
      </c>
      <c r="L55" s="27" t="s">
        <v>152</v>
      </c>
      <c r="Z55" s="33">
        <f>IF(AQ55="5",BJ55,0)</f>
        <v>0</v>
      </c>
      <c r="AB55" s="33">
        <f>IF(AQ55="1",BH55,0)</f>
        <v>0</v>
      </c>
      <c r="AC55" s="33">
        <f>IF(AQ55="1",BI55,0)</f>
        <v>0</v>
      </c>
      <c r="AD55" s="33">
        <f>IF(AQ55="7",BH55,0)</f>
        <v>0</v>
      </c>
      <c r="AE55" s="33">
        <f>IF(AQ55="7",BI55,0)</f>
        <v>0</v>
      </c>
      <c r="AF55" s="33">
        <f>IF(AQ55="2",BH55,0)</f>
        <v>0</v>
      </c>
      <c r="AG55" s="33">
        <f>IF(AQ55="2",BI55,0)</f>
        <v>0</v>
      </c>
      <c r="AH55" s="33">
        <f>IF(AQ55="0",BJ55,0)</f>
        <v>0</v>
      </c>
      <c r="AI55" s="28"/>
      <c r="AJ55" s="16">
        <f>IF(AN55=0,K55,0)</f>
        <v>0</v>
      </c>
      <c r="AK55" s="16">
        <f>IF(AN55=15,K55,0)</f>
        <v>0</v>
      </c>
      <c r="AL55" s="16">
        <f>IF(AN55=21,K55,0)</f>
        <v>0</v>
      </c>
      <c r="AN55" s="33">
        <v>21</v>
      </c>
      <c r="AO55" s="33">
        <f>H55*0</f>
        <v>0</v>
      </c>
      <c r="AP55" s="33">
        <f>H55*(1-0)</f>
        <v>0</v>
      </c>
      <c r="AQ55" s="27" t="s">
        <v>7</v>
      </c>
      <c r="AV55" s="33">
        <f>AW55+AX55</f>
        <v>0</v>
      </c>
      <c r="AW55" s="33">
        <f>G55*AO55</f>
        <v>0</v>
      </c>
      <c r="AX55" s="33">
        <f>G55*AP55</f>
        <v>0</v>
      </c>
      <c r="AY55" s="34" t="s">
        <v>174</v>
      </c>
      <c r="AZ55" s="34" t="s">
        <v>177</v>
      </c>
      <c r="BA55" s="28" t="s">
        <v>178</v>
      </c>
      <c r="BC55" s="33">
        <f>AW55+AX55</f>
        <v>0</v>
      </c>
      <c r="BD55" s="33">
        <f>H55/(100-BE55)*100</f>
        <v>0</v>
      </c>
      <c r="BE55" s="33">
        <v>0</v>
      </c>
      <c r="BF55" s="33">
        <f>55</f>
        <v>55</v>
      </c>
      <c r="BH55" s="16">
        <f>G55*AO55</f>
        <v>0</v>
      </c>
      <c r="BI55" s="16">
        <f>G55*AP55</f>
        <v>0</v>
      </c>
      <c r="BJ55" s="16">
        <f>G55*H55</f>
        <v>0</v>
      </c>
    </row>
    <row r="56" spans="1:62" x14ac:dyDescent="0.25">
      <c r="A56" s="7" t="s">
        <v>38</v>
      </c>
      <c r="B56" s="7" t="s">
        <v>79</v>
      </c>
      <c r="C56" s="130" t="s">
        <v>126</v>
      </c>
      <c r="D56" s="131"/>
      <c r="E56" s="131"/>
      <c r="F56" s="7" t="s">
        <v>135</v>
      </c>
      <c r="G56" s="136">
        <v>1</v>
      </c>
      <c r="H56" s="18">
        <v>0</v>
      </c>
      <c r="I56" s="18">
        <f>G56*AO56</f>
        <v>0</v>
      </c>
      <c r="J56" s="18">
        <f>G56*AP56</f>
        <v>0</v>
      </c>
      <c r="K56" s="18">
        <f>G56*H56</f>
        <v>0</v>
      </c>
      <c r="L56" s="30" t="s">
        <v>152</v>
      </c>
      <c r="Z56" s="33">
        <f>IF(AQ56="5",BJ56,0)</f>
        <v>0</v>
      </c>
      <c r="AB56" s="33">
        <f>IF(AQ56="1",BH56,0)</f>
        <v>0</v>
      </c>
      <c r="AC56" s="33">
        <f>IF(AQ56="1",BI56,0)</f>
        <v>0</v>
      </c>
      <c r="AD56" s="33">
        <f>IF(AQ56="7",BH56,0)</f>
        <v>0</v>
      </c>
      <c r="AE56" s="33">
        <f>IF(AQ56="7",BI56,0)</f>
        <v>0</v>
      </c>
      <c r="AF56" s="33">
        <f>IF(AQ56="2",BH56,0)</f>
        <v>0</v>
      </c>
      <c r="AG56" s="33">
        <f>IF(AQ56="2",BI56,0)</f>
        <v>0</v>
      </c>
      <c r="AH56" s="33">
        <f>IF(AQ56="0",BJ56,0)</f>
        <v>0</v>
      </c>
      <c r="AI56" s="28"/>
      <c r="AJ56" s="16">
        <f>IF(AN56=0,K56,0)</f>
        <v>0</v>
      </c>
      <c r="AK56" s="16">
        <f>IF(AN56=15,K56,0)</f>
        <v>0</v>
      </c>
      <c r="AL56" s="16">
        <f>IF(AN56=21,K56,0)</f>
        <v>0</v>
      </c>
      <c r="AN56" s="33">
        <v>21</v>
      </c>
      <c r="AO56" s="33">
        <f>H56*0</f>
        <v>0</v>
      </c>
      <c r="AP56" s="33">
        <f>H56*(1-0)</f>
        <v>0</v>
      </c>
      <c r="AQ56" s="27" t="s">
        <v>7</v>
      </c>
      <c r="AV56" s="33">
        <f>AW56+AX56</f>
        <v>0</v>
      </c>
      <c r="AW56" s="33">
        <f>G56*AO56</f>
        <v>0</v>
      </c>
      <c r="AX56" s="33">
        <f>G56*AP56</f>
        <v>0</v>
      </c>
      <c r="AY56" s="34" t="s">
        <v>174</v>
      </c>
      <c r="AZ56" s="34" t="s">
        <v>177</v>
      </c>
      <c r="BA56" s="28" t="s">
        <v>178</v>
      </c>
      <c r="BC56" s="33">
        <f>AW56+AX56</f>
        <v>0</v>
      </c>
      <c r="BD56" s="33">
        <f>H56/(100-BE56)*100</f>
        <v>0</v>
      </c>
      <c r="BE56" s="33">
        <v>0</v>
      </c>
      <c r="BF56" s="33">
        <f>56</f>
        <v>56</v>
      </c>
      <c r="BH56" s="16">
        <f>G56*AO56</f>
        <v>0</v>
      </c>
      <c r="BI56" s="16">
        <f>G56*AP56</f>
        <v>0</v>
      </c>
      <c r="BJ56" s="16">
        <f>G56*H56</f>
        <v>0</v>
      </c>
    </row>
    <row r="57" spans="1:62" x14ac:dyDescent="0.25">
      <c r="A57" s="8"/>
      <c r="B57" s="8"/>
      <c r="C57" s="8"/>
      <c r="D57" s="8"/>
      <c r="E57" s="8"/>
      <c r="F57" s="8"/>
      <c r="G57" s="8"/>
      <c r="H57" s="8"/>
      <c r="I57" s="129" t="s">
        <v>147</v>
      </c>
      <c r="J57" s="70"/>
      <c r="K57" s="37">
        <f>K12+K17+K20+K23+K26+K28+K30+K32+K35+K45+K47+K49+K53</f>
        <v>0</v>
      </c>
      <c r="L57" s="8"/>
    </row>
    <row r="58" spans="1:62" ht="11.25" customHeight="1" x14ac:dyDescent="0.25">
      <c r="A58" s="9" t="s">
        <v>39</v>
      </c>
    </row>
    <row r="59" spans="1:62" x14ac:dyDescent="0.25">
      <c r="A59" s="77"/>
      <c r="B59" s="68"/>
      <c r="C59" s="68"/>
      <c r="D59" s="68"/>
      <c r="E59" s="68"/>
      <c r="F59" s="68"/>
      <c r="G59" s="68"/>
      <c r="H59" s="68"/>
      <c r="I59" s="68"/>
      <c r="J59" s="68"/>
      <c r="K59" s="68"/>
      <c r="L59" s="68"/>
    </row>
  </sheetData>
  <mergeCells count="75">
    <mergeCell ref="I57:J57"/>
    <mergeCell ref="A59:L59"/>
    <mergeCell ref="C51:E51"/>
    <mergeCell ref="C52:E52"/>
    <mergeCell ref="C53:E53"/>
    <mergeCell ref="C54:E54"/>
    <mergeCell ref="C55:E55"/>
    <mergeCell ref="C56:E56"/>
    <mergeCell ref="C50:E50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38:E38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I10:K10"/>
    <mergeCell ref="C11:E11"/>
    <mergeCell ref="C12:E12"/>
    <mergeCell ref="C13:E13"/>
    <mergeCell ref="C26:E26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14:E14"/>
    <mergeCell ref="A8:B9"/>
    <mergeCell ref="C8:C9"/>
    <mergeCell ref="D8:E9"/>
    <mergeCell ref="F8:G9"/>
    <mergeCell ref="C10:E10"/>
    <mergeCell ref="H8:H9"/>
    <mergeCell ref="I8:L9"/>
    <mergeCell ref="A6:B7"/>
    <mergeCell ref="C6:C7"/>
    <mergeCell ref="D6:E7"/>
    <mergeCell ref="F6:G7"/>
    <mergeCell ref="H6:H7"/>
    <mergeCell ref="I6:L7"/>
    <mergeCell ref="I4:L5"/>
    <mergeCell ref="A1:L1"/>
    <mergeCell ref="A2:B3"/>
    <mergeCell ref="C2:C3"/>
    <mergeCell ref="D2:E3"/>
    <mergeCell ref="F2:G3"/>
    <mergeCell ref="H2:H3"/>
    <mergeCell ref="I2:L3"/>
    <mergeCell ref="A4:B5"/>
    <mergeCell ref="C4:C5"/>
    <mergeCell ref="D4:E5"/>
    <mergeCell ref="F4:G5"/>
    <mergeCell ref="H4:H5"/>
  </mergeCells>
  <pageMargins left="0.39400000000000002" right="0.39400000000000002" top="0.59099999999999997" bottom="0.59099999999999997" header="0.5" footer="0.5"/>
  <pageSetup paperSize="0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344F0-85ED-4DA8-82D1-9F24D8DAE8A3}">
  <sheetPr>
    <pageSetUpPr fitToPage="1"/>
  </sheetPr>
  <dimension ref="A1:I91"/>
  <sheetViews>
    <sheetView tabSelected="1" workbookViewId="0">
      <pane ySplit="10" topLeftCell="A44" activePane="bottomLeft" state="frozenSplit"/>
      <selection pane="bottomLeft" activeCell="F6" sqref="F6:H7"/>
    </sheetView>
  </sheetViews>
  <sheetFormatPr defaultColWidth="11.5546875" defaultRowHeight="13.2" x14ac:dyDescent="0.25"/>
  <cols>
    <col min="1" max="2" width="9.109375" style="137" customWidth="1"/>
    <col min="3" max="3" width="13.33203125" style="137" customWidth="1"/>
    <col min="4" max="4" width="76.33203125" style="137" customWidth="1"/>
    <col min="5" max="5" width="14.5546875" style="137" customWidth="1"/>
    <col min="6" max="6" width="7.33203125" style="137" customWidth="1"/>
    <col min="7" max="7" width="15.6640625" style="137" customWidth="1"/>
    <col min="8" max="8" width="18.109375" style="137" hidden="1" customWidth="1"/>
    <col min="9" max="16384" width="11.5546875" style="137"/>
  </cols>
  <sheetData>
    <row r="1" spans="1:9" ht="72.900000000000006" customHeight="1" x14ac:dyDescent="0.4">
      <c r="A1" s="192" t="s">
        <v>189</v>
      </c>
      <c r="B1" s="191"/>
      <c r="C1" s="191"/>
      <c r="D1" s="191"/>
      <c r="E1" s="191"/>
      <c r="F1" s="191"/>
      <c r="G1" s="191"/>
      <c r="H1" s="191"/>
    </row>
    <row r="2" spans="1:9" x14ac:dyDescent="0.25">
      <c r="A2" s="190" t="s">
        <v>1</v>
      </c>
      <c r="B2" s="186"/>
      <c r="C2" s="189" t="str">
        <f>'[1]Stavební rozpočet'!D2</f>
        <v>Ralsko-Ploužnice: Oprava komunikace pro pěší u č.p.332-337</v>
      </c>
      <c r="D2" s="188"/>
      <c r="E2" s="187" t="s">
        <v>138</v>
      </c>
      <c r="F2" s="187" t="str">
        <f>'[1]Stavební rozpočet'!I2</f>
        <v> </v>
      </c>
      <c r="G2" s="186"/>
      <c r="H2" s="185"/>
      <c r="I2" s="176"/>
    </row>
    <row r="3" spans="1:9" x14ac:dyDescent="0.25">
      <c r="A3" s="183"/>
      <c r="B3" s="138"/>
      <c r="C3" s="184"/>
      <c r="D3" s="184"/>
      <c r="E3" s="138"/>
      <c r="F3" s="138"/>
      <c r="G3" s="138"/>
      <c r="H3" s="180"/>
      <c r="I3" s="176"/>
    </row>
    <row r="4" spans="1:9" x14ac:dyDescent="0.25">
      <c r="A4" s="182" t="s">
        <v>2</v>
      </c>
      <c r="B4" s="138"/>
      <c r="C4" s="139" t="str">
        <f>'[1]Stavební rozpočet'!D4</f>
        <v xml:space="preserve"> </v>
      </c>
      <c r="D4" s="138"/>
      <c r="E4" s="139" t="s">
        <v>139</v>
      </c>
      <c r="F4" s="139" t="str">
        <f>'[1]Stavební rozpočet'!I4</f>
        <v> </v>
      </c>
      <c r="G4" s="138"/>
      <c r="H4" s="180"/>
      <c r="I4" s="176"/>
    </row>
    <row r="5" spans="1:9" x14ac:dyDescent="0.25">
      <c r="A5" s="183"/>
      <c r="B5" s="138"/>
      <c r="C5" s="138"/>
      <c r="D5" s="138"/>
      <c r="E5" s="138"/>
      <c r="F5" s="138"/>
      <c r="G5" s="138"/>
      <c r="H5" s="180"/>
      <c r="I5" s="176"/>
    </row>
    <row r="6" spans="1:9" x14ac:dyDescent="0.25">
      <c r="A6" s="182" t="s">
        <v>3</v>
      </c>
      <c r="B6" s="138"/>
      <c r="C6" s="139" t="str">
        <f>'[1]Stavební rozpočet'!D6</f>
        <v xml:space="preserve"> </v>
      </c>
      <c r="D6" s="138"/>
      <c r="E6" s="139" t="s">
        <v>140</v>
      </c>
      <c r="F6" s="139"/>
      <c r="G6" s="138"/>
      <c r="H6" s="180"/>
      <c r="I6" s="176"/>
    </row>
    <row r="7" spans="1:9" x14ac:dyDescent="0.25">
      <c r="A7" s="183"/>
      <c r="B7" s="138"/>
      <c r="C7" s="138"/>
      <c r="D7" s="138"/>
      <c r="E7" s="138"/>
      <c r="F7" s="138"/>
      <c r="G7" s="138"/>
      <c r="H7" s="180"/>
      <c r="I7" s="176"/>
    </row>
    <row r="8" spans="1:9" x14ac:dyDescent="0.25">
      <c r="A8" s="182" t="s">
        <v>141</v>
      </c>
      <c r="B8" s="138"/>
      <c r="C8" s="139" t="str">
        <f>'[1]Stavební rozpočet'!I8</f>
        <v> </v>
      </c>
      <c r="D8" s="138"/>
      <c r="E8" s="139" t="s">
        <v>130</v>
      </c>
      <c r="F8" s="181"/>
      <c r="G8" s="138"/>
      <c r="H8" s="180"/>
      <c r="I8" s="176"/>
    </row>
    <row r="9" spans="1:9" ht="13.8" thickBot="1" x14ac:dyDescent="0.3">
      <c r="A9" s="179"/>
      <c r="B9" s="178"/>
      <c r="C9" s="178"/>
      <c r="D9" s="178"/>
      <c r="E9" s="178"/>
      <c r="F9" s="178"/>
      <c r="G9" s="178"/>
      <c r="H9" s="177"/>
      <c r="I9" s="176"/>
    </row>
    <row r="10" spans="1:9" ht="13.8" thickBot="1" x14ac:dyDescent="0.3">
      <c r="A10" s="175" t="s">
        <v>5</v>
      </c>
      <c r="B10" s="172" t="s">
        <v>183</v>
      </c>
      <c r="C10" s="172" t="s">
        <v>40</v>
      </c>
      <c r="D10" s="174" t="s">
        <v>80</v>
      </c>
      <c r="E10" s="173"/>
      <c r="F10" s="172" t="s">
        <v>131</v>
      </c>
      <c r="G10" s="171" t="s">
        <v>137</v>
      </c>
      <c r="H10" s="170" t="s">
        <v>190</v>
      </c>
      <c r="I10" s="169"/>
    </row>
    <row r="11" spans="1:9" x14ac:dyDescent="0.25">
      <c r="A11" s="166"/>
      <c r="B11" s="166"/>
      <c r="C11" s="166" t="s">
        <v>17</v>
      </c>
      <c r="D11" s="168" t="s">
        <v>82</v>
      </c>
      <c r="E11" s="167"/>
      <c r="F11" s="166"/>
      <c r="G11" s="165"/>
      <c r="H11" s="164"/>
    </row>
    <row r="12" spans="1:9" x14ac:dyDescent="0.25">
      <c r="A12" s="143" t="s">
        <v>7</v>
      </c>
      <c r="B12" s="143"/>
      <c r="C12" s="143" t="s">
        <v>41</v>
      </c>
      <c r="D12" s="145" t="s">
        <v>83</v>
      </c>
      <c r="E12" s="144"/>
      <c r="F12" s="143" t="s">
        <v>132</v>
      </c>
      <c r="G12" s="142">
        <v>7.2329999999999997</v>
      </c>
      <c r="H12" s="141">
        <v>0</v>
      </c>
    </row>
    <row r="13" spans="1:9" ht="12.15" customHeight="1" x14ac:dyDescent="0.25">
      <c r="D13" s="153" t="s">
        <v>255</v>
      </c>
      <c r="E13" s="152"/>
      <c r="F13" s="152"/>
      <c r="G13" s="151">
        <v>7.2329999999999997</v>
      </c>
    </row>
    <row r="14" spans="1:9" x14ac:dyDescent="0.25">
      <c r="A14" s="143" t="s">
        <v>8</v>
      </c>
      <c r="B14" s="143"/>
      <c r="C14" s="143" t="s">
        <v>42</v>
      </c>
      <c r="D14" s="145" t="s">
        <v>84</v>
      </c>
      <c r="E14" s="144"/>
      <c r="F14" s="143" t="s">
        <v>132</v>
      </c>
      <c r="G14" s="142">
        <v>542.76700000000005</v>
      </c>
      <c r="H14" s="141">
        <v>0</v>
      </c>
    </row>
    <row r="15" spans="1:9" ht="12.15" customHeight="1" x14ac:dyDescent="0.25">
      <c r="D15" s="153" t="s">
        <v>254</v>
      </c>
      <c r="E15" s="152"/>
      <c r="F15" s="152"/>
      <c r="G15" s="151">
        <v>542.76700000000005</v>
      </c>
    </row>
    <row r="16" spans="1:9" x14ac:dyDescent="0.25">
      <c r="A16" s="143" t="s">
        <v>9</v>
      </c>
      <c r="B16" s="143"/>
      <c r="C16" s="143" t="s">
        <v>43</v>
      </c>
      <c r="D16" s="145" t="s">
        <v>85</v>
      </c>
      <c r="E16" s="144"/>
      <c r="F16" s="143" t="s">
        <v>132</v>
      </c>
      <c r="G16" s="142">
        <v>550</v>
      </c>
      <c r="H16" s="141">
        <v>0</v>
      </c>
    </row>
    <row r="17" spans="1:8" ht="12.15" customHeight="1" x14ac:dyDescent="0.25">
      <c r="D17" s="153" t="s">
        <v>249</v>
      </c>
      <c r="E17" s="152"/>
      <c r="F17" s="152"/>
      <c r="G17" s="151">
        <v>550</v>
      </c>
    </row>
    <row r="18" spans="1:8" x14ac:dyDescent="0.25">
      <c r="A18" s="143" t="s">
        <v>10</v>
      </c>
      <c r="B18" s="143"/>
      <c r="C18" s="143" t="s">
        <v>44</v>
      </c>
      <c r="D18" s="145" t="s">
        <v>86</v>
      </c>
      <c r="E18" s="144"/>
      <c r="F18" s="143" t="s">
        <v>133</v>
      </c>
      <c r="G18" s="142">
        <v>530.5</v>
      </c>
      <c r="H18" s="141">
        <v>0</v>
      </c>
    </row>
    <row r="19" spans="1:8" ht="12.15" customHeight="1" x14ac:dyDescent="0.25">
      <c r="D19" s="153" t="s">
        <v>253</v>
      </c>
      <c r="E19" s="152"/>
      <c r="F19" s="152"/>
      <c r="G19" s="151">
        <v>530.5</v>
      </c>
    </row>
    <row r="20" spans="1:8" x14ac:dyDescent="0.25">
      <c r="A20" s="148"/>
      <c r="B20" s="148"/>
      <c r="C20" s="148" t="s">
        <v>18</v>
      </c>
      <c r="D20" s="150" t="s">
        <v>87</v>
      </c>
      <c r="E20" s="149"/>
      <c r="F20" s="148"/>
      <c r="G20" s="147"/>
      <c r="H20" s="146"/>
    </row>
    <row r="21" spans="1:8" x14ac:dyDescent="0.25">
      <c r="A21" s="143" t="s">
        <v>11</v>
      </c>
      <c r="B21" s="143"/>
      <c r="C21" s="143" t="s">
        <v>45</v>
      </c>
      <c r="D21" s="145" t="s">
        <v>88</v>
      </c>
      <c r="E21" s="144"/>
      <c r="F21" s="143" t="s">
        <v>134</v>
      </c>
      <c r="G21" s="142">
        <v>55</v>
      </c>
      <c r="H21" s="141">
        <v>0</v>
      </c>
    </row>
    <row r="22" spans="1:8" ht="12.15" customHeight="1" x14ac:dyDescent="0.25">
      <c r="D22" s="153" t="s">
        <v>252</v>
      </c>
      <c r="E22" s="152"/>
      <c r="F22" s="152"/>
      <c r="G22" s="151">
        <v>55</v>
      </c>
    </row>
    <row r="23" spans="1:8" x14ac:dyDescent="0.25">
      <c r="A23" s="143" t="s">
        <v>12</v>
      </c>
      <c r="B23" s="143"/>
      <c r="C23" s="143" t="s">
        <v>46</v>
      </c>
      <c r="D23" s="145" t="s">
        <v>89</v>
      </c>
      <c r="E23" s="144"/>
      <c r="F23" s="143" t="s">
        <v>134</v>
      </c>
      <c r="G23" s="142">
        <v>55</v>
      </c>
      <c r="H23" s="141">
        <v>0</v>
      </c>
    </row>
    <row r="24" spans="1:8" ht="12.15" customHeight="1" x14ac:dyDescent="0.25">
      <c r="D24" s="153" t="s">
        <v>252</v>
      </c>
      <c r="E24" s="152"/>
      <c r="F24" s="152"/>
      <c r="G24" s="151">
        <v>55</v>
      </c>
    </row>
    <row r="25" spans="1:8" x14ac:dyDescent="0.25">
      <c r="A25" s="148"/>
      <c r="B25" s="148"/>
      <c r="C25" s="148" t="s">
        <v>19</v>
      </c>
      <c r="D25" s="150" t="s">
        <v>90</v>
      </c>
      <c r="E25" s="149"/>
      <c r="F25" s="148"/>
      <c r="G25" s="147"/>
      <c r="H25" s="146"/>
    </row>
    <row r="26" spans="1:8" x14ac:dyDescent="0.25">
      <c r="A26" s="143" t="s">
        <v>13</v>
      </c>
      <c r="B26" s="143"/>
      <c r="C26" s="143" t="s">
        <v>47</v>
      </c>
      <c r="D26" s="145" t="s">
        <v>91</v>
      </c>
      <c r="E26" s="144"/>
      <c r="F26" s="143" t="s">
        <v>134</v>
      </c>
      <c r="G26" s="142">
        <v>11.936</v>
      </c>
      <c r="H26" s="141">
        <v>0</v>
      </c>
    </row>
    <row r="27" spans="1:8" ht="12.15" customHeight="1" x14ac:dyDescent="0.25">
      <c r="D27" s="153" t="s">
        <v>241</v>
      </c>
      <c r="E27" s="152"/>
      <c r="F27" s="152"/>
      <c r="G27" s="151">
        <v>11.936</v>
      </c>
    </row>
    <row r="28" spans="1:8" x14ac:dyDescent="0.25">
      <c r="A28" s="143" t="s">
        <v>14</v>
      </c>
      <c r="B28" s="143"/>
      <c r="C28" s="143" t="s">
        <v>48</v>
      </c>
      <c r="D28" s="145" t="s">
        <v>92</v>
      </c>
      <c r="E28" s="144"/>
      <c r="F28" s="143" t="s">
        <v>134</v>
      </c>
      <c r="G28" s="142">
        <v>11.936</v>
      </c>
      <c r="H28" s="141">
        <v>0</v>
      </c>
    </row>
    <row r="29" spans="1:8" ht="12.15" customHeight="1" x14ac:dyDescent="0.25">
      <c r="D29" s="153" t="s">
        <v>241</v>
      </c>
      <c r="E29" s="152"/>
      <c r="F29" s="152"/>
      <c r="G29" s="151">
        <v>11.936</v>
      </c>
    </row>
    <row r="30" spans="1:8" x14ac:dyDescent="0.25">
      <c r="A30" s="148"/>
      <c r="B30" s="148"/>
      <c r="C30" s="148" t="s">
        <v>22</v>
      </c>
      <c r="D30" s="150" t="s">
        <v>93</v>
      </c>
      <c r="E30" s="149"/>
      <c r="F30" s="148"/>
      <c r="G30" s="147"/>
      <c r="H30" s="146"/>
    </row>
    <row r="31" spans="1:8" x14ac:dyDescent="0.25">
      <c r="A31" s="143" t="s">
        <v>15</v>
      </c>
      <c r="B31" s="143"/>
      <c r="C31" s="143" t="s">
        <v>49</v>
      </c>
      <c r="D31" s="145" t="s">
        <v>94</v>
      </c>
      <c r="E31" s="144"/>
      <c r="F31" s="143" t="s">
        <v>134</v>
      </c>
      <c r="G31" s="142">
        <v>66.936000000000007</v>
      </c>
      <c r="H31" s="141">
        <v>0</v>
      </c>
    </row>
    <row r="32" spans="1:8" ht="12.15" customHeight="1" x14ac:dyDescent="0.25">
      <c r="D32" s="153" t="s">
        <v>251</v>
      </c>
      <c r="E32" s="152"/>
      <c r="F32" s="152"/>
      <c r="G32" s="151">
        <v>66.936000000000007</v>
      </c>
    </row>
    <row r="33" spans="1:8" x14ac:dyDescent="0.25">
      <c r="A33" s="143" t="s">
        <v>16</v>
      </c>
      <c r="B33" s="143"/>
      <c r="C33" s="143" t="s">
        <v>50</v>
      </c>
      <c r="D33" s="145" t="s">
        <v>95</v>
      </c>
      <c r="E33" s="144"/>
      <c r="F33" s="143" t="s">
        <v>134</v>
      </c>
      <c r="G33" s="142">
        <v>66.936000000000007</v>
      </c>
      <c r="H33" s="141">
        <v>0</v>
      </c>
    </row>
    <row r="34" spans="1:8" ht="12.15" customHeight="1" x14ac:dyDescent="0.25">
      <c r="D34" s="153" t="s">
        <v>250</v>
      </c>
      <c r="E34" s="152"/>
      <c r="F34" s="152"/>
      <c r="G34" s="151">
        <v>66.936000000000007</v>
      </c>
    </row>
    <row r="35" spans="1:8" x14ac:dyDescent="0.25">
      <c r="A35" s="148"/>
      <c r="B35" s="148"/>
      <c r="C35" s="148" t="s">
        <v>23</v>
      </c>
      <c r="D35" s="150" t="s">
        <v>96</v>
      </c>
      <c r="E35" s="149"/>
      <c r="F35" s="148"/>
      <c r="G35" s="147"/>
      <c r="H35" s="146"/>
    </row>
    <row r="36" spans="1:8" x14ac:dyDescent="0.25">
      <c r="A36" s="143" t="s">
        <v>17</v>
      </c>
      <c r="B36" s="143"/>
      <c r="C36" s="143" t="s">
        <v>51</v>
      </c>
      <c r="D36" s="145" t="s">
        <v>97</v>
      </c>
      <c r="E36" s="144"/>
      <c r="F36" s="143" t="s">
        <v>134</v>
      </c>
      <c r="G36" s="142">
        <v>66.936000000000007</v>
      </c>
      <c r="H36" s="141">
        <v>0</v>
      </c>
    </row>
    <row r="37" spans="1:8" ht="12.15" customHeight="1" x14ac:dyDescent="0.25">
      <c r="D37" s="153" t="s">
        <v>250</v>
      </c>
      <c r="E37" s="152"/>
      <c r="F37" s="152"/>
      <c r="G37" s="151">
        <v>66.936000000000007</v>
      </c>
    </row>
    <row r="38" spans="1:8" x14ac:dyDescent="0.25">
      <c r="A38" s="148"/>
      <c r="B38" s="148"/>
      <c r="C38" s="148" t="s">
        <v>24</v>
      </c>
      <c r="D38" s="150" t="s">
        <v>98</v>
      </c>
      <c r="E38" s="149"/>
      <c r="F38" s="148"/>
      <c r="G38" s="147"/>
      <c r="H38" s="146"/>
    </row>
    <row r="39" spans="1:8" x14ac:dyDescent="0.25">
      <c r="A39" s="143" t="s">
        <v>18</v>
      </c>
      <c r="B39" s="143"/>
      <c r="C39" s="143" t="s">
        <v>52</v>
      </c>
      <c r="D39" s="145" t="s">
        <v>99</v>
      </c>
      <c r="E39" s="144"/>
      <c r="F39" s="143" t="s">
        <v>132</v>
      </c>
      <c r="G39" s="142">
        <v>550</v>
      </c>
      <c r="H39" s="141">
        <v>0</v>
      </c>
    </row>
    <row r="40" spans="1:8" ht="12.15" customHeight="1" x14ac:dyDescent="0.25">
      <c r="D40" s="153" t="s">
        <v>249</v>
      </c>
      <c r="E40" s="152"/>
      <c r="F40" s="152"/>
      <c r="G40" s="151">
        <v>550</v>
      </c>
    </row>
    <row r="41" spans="1:8" x14ac:dyDescent="0.25">
      <c r="A41" s="148"/>
      <c r="B41" s="148"/>
      <c r="C41" s="148" t="s">
        <v>53</v>
      </c>
      <c r="D41" s="150" t="s">
        <v>100</v>
      </c>
      <c r="E41" s="149"/>
      <c r="F41" s="148"/>
      <c r="G41" s="147"/>
      <c r="H41" s="146"/>
    </row>
    <row r="42" spans="1:8" x14ac:dyDescent="0.25">
      <c r="A42" s="143" t="s">
        <v>19</v>
      </c>
      <c r="B42" s="143"/>
      <c r="C42" s="143" t="s">
        <v>54</v>
      </c>
      <c r="D42" s="145" t="s">
        <v>101</v>
      </c>
      <c r="E42" s="144"/>
      <c r="F42" s="143" t="s">
        <v>132</v>
      </c>
      <c r="G42" s="142">
        <v>550</v>
      </c>
      <c r="H42" s="141">
        <v>0</v>
      </c>
    </row>
    <row r="43" spans="1:8" ht="12.15" customHeight="1" x14ac:dyDescent="0.25">
      <c r="D43" s="153" t="s">
        <v>249</v>
      </c>
      <c r="E43" s="152"/>
      <c r="F43" s="152"/>
      <c r="G43" s="151">
        <v>550</v>
      </c>
    </row>
    <row r="44" spans="1:8" x14ac:dyDescent="0.25">
      <c r="A44" s="148"/>
      <c r="B44" s="148"/>
      <c r="C44" s="148" t="s">
        <v>55</v>
      </c>
      <c r="D44" s="150" t="s">
        <v>102</v>
      </c>
      <c r="E44" s="149"/>
      <c r="F44" s="148"/>
      <c r="G44" s="147"/>
      <c r="H44" s="146"/>
    </row>
    <row r="45" spans="1:8" x14ac:dyDescent="0.25">
      <c r="A45" s="143" t="s">
        <v>20</v>
      </c>
      <c r="B45" s="143"/>
      <c r="C45" s="143" t="s">
        <v>56</v>
      </c>
      <c r="D45" s="145" t="s">
        <v>103</v>
      </c>
      <c r="E45" s="144"/>
      <c r="F45" s="143" t="s">
        <v>132</v>
      </c>
      <c r="G45" s="142">
        <v>550</v>
      </c>
      <c r="H45" s="141">
        <v>0</v>
      </c>
    </row>
    <row r="46" spans="1:8" ht="12.15" customHeight="1" x14ac:dyDescent="0.25">
      <c r="D46" s="153" t="s">
        <v>249</v>
      </c>
      <c r="E46" s="152"/>
      <c r="F46" s="152"/>
      <c r="G46" s="151">
        <v>550</v>
      </c>
    </row>
    <row r="47" spans="1:8" x14ac:dyDescent="0.25">
      <c r="A47" s="158" t="s">
        <v>21</v>
      </c>
      <c r="B47" s="158"/>
      <c r="C47" s="158" t="s">
        <v>57</v>
      </c>
      <c r="D47" s="163" t="s">
        <v>104</v>
      </c>
      <c r="E47" s="162"/>
      <c r="F47" s="158" t="s">
        <v>132</v>
      </c>
      <c r="G47" s="161">
        <v>577.5</v>
      </c>
      <c r="H47" s="160">
        <v>0</v>
      </c>
    </row>
    <row r="48" spans="1:8" ht="12.15" customHeight="1" x14ac:dyDescent="0.25">
      <c r="D48" s="156" t="s">
        <v>249</v>
      </c>
      <c r="E48" s="157"/>
      <c r="F48" s="157"/>
      <c r="G48" s="159">
        <v>550</v>
      </c>
    </row>
    <row r="49" spans="1:8" ht="12.15" customHeight="1" x14ac:dyDescent="0.25">
      <c r="A49" s="158"/>
      <c r="B49" s="158"/>
      <c r="C49" s="158"/>
      <c r="D49" s="156" t="s">
        <v>248</v>
      </c>
      <c r="E49" s="157"/>
      <c r="F49" s="156"/>
      <c r="G49" s="155">
        <v>27.5</v>
      </c>
      <c r="H49" s="154"/>
    </row>
    <row r="50" spans="1:8" x14ac:dyDescent="0.25">
      <c r="A50" s="148"/>
      <c r="B50" s="148"/>
      <c r="C50" s="148" t="s">
        <v>58</v>
      </c>
      <c r="D50" s="150" t="s">
        <v>105</v>
      </c>
      <c r="E50" s="149"/>
      <c r="F50" s="148"/>
      <c r="G50" s="147"/>
      <c r="H50" s="146"/>
    </row>
    <row r="51" spans="1:8" x14ac:dyDescent="0.25">
      <c r="A51" s="143" t="s">
        <v>22</v>
      </c>
      <c r="B51" s="143"/>
      <c r="C51" s="143" t="s">
        <v>59</v>
      </c>
      <c r="D51" s="145" t="s">
        <v>106</v>
      </c>
      <c r="E51" s="144"/>
      <c r="F51" s="143" t="s">
        <v>133</v>
      </c>
      <c r="G51" s="142">
        <v>337.5</v>
      </c>
      <c r="H51" s="141">
        <v>0</v>
      </c>
    </row>
    <row r="52" spans="1:8" ht="12.15" customHeight="1" x14ac:dyDescent="0.25">
      <c r="D52" s="153" t="s">
        <v>247</v>
      </c>
      <c r="E52" s="152"/>
      <c r="F52" s="152"/>
      <c r="G52" s="151">
        <v>337.5</v>
      </c>
    </row>
    <row r="53" spans="1:8" x14ac:dyDescent="0.25">
      <c r="A53" s="158" t="s">
        <v>23</v>
      </c>
      <c r="B53" s="158"/>
      <c r="C53" s="158" t="s">
        <v>60</v>
      </c>
      <c r="D53" s="163" t="s">
        <v>107</v>
      </c>
      <c r="E53" s="162"/>
      <c r="F53" s="158" t="s">
        <v>135</v>
      </c>
      <c r="G53" s="161">
        <v>354.375</v>
      </c>
      <c r="H53" s="160">
        <v>0</v>
      </c>
    </row>
    <row r="54" spans="1:8" ht="12.15" customHeight="1" x14ac:dyDescent="0.25">
      <c r="D54" s="156" t="s">
        <v>247</v>
      </c>
      <c r="E54" s="157"/>
      <c r="F54" s="157"/>
      <c r="G54" s="159">
        <v>337.5</v>
      </c>
    </row>
    <row r="55" spans="1:8" ht="12.15" customHeight="1" x14ac:dyDescent="0.25">
      <c r="A55" s="158"/>
      <c r="B55" s="158"/>
      <c r="C55" s="158"/>
      <c r="D55" s="156" t="s">
        <v>246</v>
      </c>
      <c r="E55" s="157"/>
      <c r="F55" s="156"/>
      <c r="G55" s="155">
        <v>16.875</v>
      </c>
      <c r="H55" s="154"/>
    </row>
    <row r="56" spans="1:8" x14ac:dyDescent="0.25">
      <c r="A56" s="143" t="s">
        <v>24</v>
      </c>
      <c r="B56" s="143"/>
      <c r="C56" s="143" t="s">
        <v>61</v>
      </c>
      <c r="D56" s="145" t="s">
        <v>108</v>
      </c>
      <c r="E56" s="144"/>
      <c r="F56" s="143" t="s">
        <v>133</v>
      </c>
      <c r="G56" s="142">
        <v>57.8</v>
      </c>
      <c r="H56" s="141">
        <v>0</v>
      </c>
    </row>
    <row r="57" spans="1:8" ht="12.15" customHeight="1" x14ac:dyDescent="0.25">
      <c r="D57" s="153" t="s">
        <v>245</v>
      </c>
      <c r="E57" s="152"/>
      <c r="F57" s="152"/>
      <c r="G57" s="151">
        <v>57.8</v>
      </c>
    </row>
    <row r="58" spans="1:8" x14ac:dyDescent="0.25">
      <c r="A58" s="158" t="s">
        <v>25</v>
      </c>
      <c r="B58" s="158"/>
      <c r="C58" s="158" t="s">
        <v>62</v>
      </c>
      <c r="D58" s="163" t="s">
        <v>109</v>
      </c>
      <c r="E58" s="162"/>
      <c r="F58" s="158" t="s">
        <v>135</v>
      </c>
      <c r="G58" s="161">
        <v>60.69</v>
      </c>
      <c r="H58" s="160">
        <v>0</v>
      </c>
    </row>
    <row r="59" spans="1:8" ht="12.15" customHeight="1" x14ac:dyDescent="0.25">
      <c r="D59" s="156" t="s">
        <v>245</v>
      </c>
      <c r="E59" s="157"/>
      <c r="F59" s="157"/>
      <c r="G59" s="159">
        <v>57.8</v>
      </c>
    </row>
    <row r="60" spans="1:8" ht="12.15" customHeight="1" x14ac:dyDescent="0.25">
      <c r="A60" s="158"/>
      <c r="B60" s="158"/>
      <c r="C60" s="158"/>
      <c r="D60" s="156" t="s">
        <v>244</v>
      </c>
      <c r="E60" s="157"/>
      <c r="F60" s="156"/>
      <c r="G60" s="155">
        <v>2.89</v>
      </c>
      <c r="H60" s="154"/>
    </row>
    <row r="61" spans="1:8" x14ac:dyDescent="0.25">
      <c r="A61" s="143" t="s">
        <v>26</v>
      </c>
      <c r="B61" s="143"/>
      <c r="C61" s="143" t="s">
        <v>63</v>
      </c>
      <c r="D61" s="145" t="s">
        <v>110</v>
      </c>
      <c r="E61" s="144"/>
      <c r="F61" s="143" t="s">
        <v>133</v>
      </c>
      <c r="G61" s="142">
        <v>135.19999999999999</v>
      </c>
      <c r="H61" s="141">
        <v>0</v>
      </c>
    </row>
    <row r="62" spans="1:8" ht="12.15" customHeight="1" x14ac:dyDescent="0.25">
      <c r="D62" s="153" t="s">
        <v>243</v>
      </c>
      <c r="E62" s="152"/>
      <c r="F62" s="152"/>
      <c r="G62" s="151">
        <v>135.19999999999999</v>
      </c>
    </row>
    <row r="63" spans="1:8" x14ac:dyDescent="0.25">
      <c r="A63" s="158" t="s">
        <v>27</v>
      </c>
      <c r="B63" s="158"/>
      <c r="C63" s="158" t="s">
        <v>64</v>
      </c>
      <c r="D63" s="163" t="s">
        <v>111</v>
      </c>
      <c r="E63" s="162"/>
      <c r="F63" s="158" t="s">
        <v>135</v>
      </c>
      <c r="G63" s="161">
        <v>141.96</v>
      </c>
      <c r="H63" s="160">
        <v>0</v>
      </c>
    </row>
    <row r="64" spans="1:8" ht="12.15" customHeight="1" x14ac:dyDescent="0.25">
      <c r="D64" s="156" t="s">
        <v>243</v>
      </c>
      <c r="E64" s="157"/>
      <c r="F64" s="157"/>
      <c r="G64" s="159">
        <v>135.19999999999999</v>
      </c>
    </row>
    <row r="65" spans="1:8" ht="12.15" customHeight="1" x14ac:dyDescent="0.25">
      <c r="A65" s="158"/>
      <c r="B65" s="158"/>
      <c r="C65" s="158"/>
      <c r="D65" s="156" t="s">
        <v>242</v>
      </c>
      <c r="E65" s="157"/>
      <c r="F65" s="156"/>
      <c r="G65" s="155">
        <v>6.76</v>
      </c>
      <c r="H65" s="154"/>
    </row>
    <row r="66" spans="1:8" x14ac:dyDescent="0.25">
      <c r="A66" s="143" t="s">
        <v>28</v>
      </c>
      <c r="B66" s="143"/>
      <c r="C66" s="143" t="s">
        <v>65</v>
      </c>
      <c r="D66" s="145" t="s">
        <v>112</v>
      </c>
      <c r="E66" s="144"/>
      <c r="F66" s="143" t="s">
        <v>134</v>
      </c>
      <c r="G66" s="142">
        <v>11.936</v>
      </c>
      <c r="H66" s="141">
        <v>0</v>
      </c>
    </row>
    <row r="67" spans="1:8" ht="12.15" customHeight="1" x14ac:dyDescent="0.25">
      <c r="D67" s="153" t="s">
        <v>241</v>
      </c>
      <c r="E67" s="152"/>
      <c r="F67" s="152"/>
      <c r="G67" s="151">
        <v>11.936</v>
      </c>
    </row>
    <row r="68" spans="1:8" x14ac:dyDescent="0.25">
      <c r="A68" s="143" t="s">
        <v>29</v>
      </c>
      <c r="B68" s="143"/>
      <c r="C68" s="143" t="s">
        <v>66</v>
      </c>
      <c r="D68" s="145" t="s">
        <v>113</v>
      </c>
      <c r="E68" s="144"/>
      <c r="F68" s="143" t="s">
        <v>133</v>
      </c>
      <c r="G68" s="142">
        <v>40.799999999999997</v>
      </c>
      <c r="H68" s="141">
        <v>0</v>
      </c>
    </row>
    <row r="69" spans="1:8" ht="12.15" customHeight="1" x14ac:dyDescent="0.25">
      <c r="D69" s="153" t="s">
        <v>240</v>
      </c>
      <c r="E69" s="152"/>
      <c r="F69" s="152"/>
      <c r="G69" s="151">
        <v>40.799999999999997</v>
      </c>
    </row>
    <row r="70" spans="1:8" x14ac:dyDescent="0.25">
      <c r="A70" s="143" t="s">
        <v>30</v>
      </c>
      <c r="B70" s="143"/>
      <c r="C70" s="143" t="s">
        <v>67</v>
      </c>
      <c r="D70" s="145" t="s">
        <v>114</v>
      </c>
      <c r="E70" s="144"/>
      <c r="F70" s="143" t="s">
        <v>133</v>
      </c>
      <c r="G70" s="142">
        <v>30.8</v>
      </c>
      <c r="H70" s="141">
        <v>0</v>
      </c>
    </row>
    <row r="71" spans="1:8" ht="12.15" customHeight="1" x14ac:dyDescent="0.25">
      <c r="D71" s="153" t="s">
        <v>239</v>
      </c>
      <c r="E71" s="152"/>
      <c r="F71" s="152"/>
      <c r="G71" s="151">
        <v>30.8</v>
      </c>
    </row>
    <row r="72" spans="1:8" x14ac:dyDescent="0.25">
      <c r="A72" s="148"/>
      <c r="B72" s="148"/>
      <c r="C72" s="148" t="s">
        <v>68</v>
      </c>
      <c r="D72" s="150" t="s">
        <v>115</v>
      </c>
      <c r="E72" s="149"/>
      <c r="F72" s="148"/>
      <c r="G72" s="147"/>
      <c r="H72" s="146"/>
    </row>
    <row r="73" spans="1:8" x14ac:dyDescent="0.25">
      <c r="A73" s="143" t="s">
        <v>31</v>
      </c>
      <c r="B73" s="143"/>
      <c r="C73" s="143" t="s">
        <v>69</v>
      </c>
      <c r="D73" s="145" t="s">
        <v>116</v>
      </c>
      <c r="E73" s="144"/>
      <c r="F73" s="143" t="s">
        <v>135</v>
      </c>
      <c r="G73" s="142">
        <v>16</v>
      </c>
      <c r="H73" s="141">
        <v>0</v>
      </c>
    </row>
    <row r="74" spans="1:8" ht="12.15" customHeight="1" x14ac:dyDescent="0.25">
      <c r="D74" s="153" t="s">
        <v>238</v>
      </c>
      <c r="E74" s="152"/>
      <c r="F74" s="152"/>
      <c r="G74" s="151">
        <v>16</v>
      </c>
    </row>
    <row r="75" spans="1:8" x14ac:dyDescent="0.25">
      <c r="A75" s="148"/>
      <c r="B75" s="148"/>
      <c r="C75" s="148" t="s">
        <v>70</v>
      </c>
      <c r="D75" s="150" t="s">
        <v>117</v>
      </c>
      <c r="E75" s="149"/>
      <c r="F75" s="148"/>
      <c r="G75" s="147"/>
      <c r="H75" s="146"/>
    </row>
    <row r="76" spans="1:8" x14ac:dyDescent="0.25">
      <c r="A76" s="143" t="s">
        <v>32</v>
      </c>
      <c r="B76" s="143"/>
      <c r="C76" s="143" t="s">
        <v>71</v>
      </c>
      <c r="D76" s="145" t="s">
        <v>118</v>
      </c>
      <c r="E76" s="144"/>
      <c r="F76" s="143" t="s">
        <v>136</v>
      </c>
      <c r="G76" s="142">
        <v>484.96699999999998</v>
      </c>
      <c r="H76" s="141">
        <v>0</v>
      </c>
    </row>
    <row r="77" spans="1:8" ht="12.15" customHeight="1" x14ac:dyDescent="0.25">
      <c r="D77" s="153" t="s">
        <v>237</v>
      </c>
      <c r="E77" s="152"/>
      <c r="F77" s="152"/>
      <c r="G77" s="151">
        <v>484.96699999999998</v>
      </c>
    </row>
    <row r="78" spans="1:8" x14ac:dyDescent="0.25">
      <c r="A78" s="148"/>
      <c r="B78" s="148"/>
      <c r="C78" s="148" t="s">
        <v>72</v>
      </c>
      <c r="D78" s="150" t="s">
        <v>119</v>
      </c>
      <c r="E78" s="149"/>
      <c r="F78" s="148"/>
      <c r="G78" s="147"/>
      <c r="H78" s="146"/>
    </row>
    <row r="79" spans="1:8" x14ac:dyDescent="0.25">
      <c r="A79" s="143" t="s">
        <v>33</v>
      </c>
      <c r="B79" s="143"/>
      <c r="C79" s="143" t="s">
        <v>73</v>
      </c>
      <c r="D79" s="145" t="s">
        <v>120</v>
      </c>
      <c r="E79" s="144"/>
      <c r="F79" s="143" t="s">
        <v>136</v>
      </c>
      <c r="G79" s="142">
        <v>388.76799999999997</v>
      </c>
      <c r="H79" s="141">
        <v>0</v>
      </c>
    </row>
    <row r="80" spans="1:8" ht="12.15" customHeight="1" x14ac:dyDescent="0.25">
      <c r="D80" s="153" t="s">
        <v>236</v>
      </c>
      <c r="E80" s="152"/>
      <c r="F80" s="152"/>
      <c r="G80" s="151">
        <v>388.76799999999997</v>
      </c>
    </row>
    <row r="81" spans="1:8" x14ac:dyDescent="0.25">
      <c r="A81" s="143" t="s">
        <v>34</v>
      </c>
      <c r="B81" s="143"/>
      <c r="C81" s="143" t="s">
        <v>74</v>
      </c>
      <c r="D81" s="145" t="s">
        <v>121</v>
      </c>
      <c r="E81" s="144"/>
      <c r="F81" s="143" t="s">
        <v>136</v>
      </c>
      <c r="G81" s="142">
        <v>388.76799999999997</v>
      </c>
      <c r="H81" s="141">
        <v>0</v>
      </c>
    </row>
    <row r="82" spans="1:8" ht="12.15" customHeight="1" x14ac:dyDescent="0.25">
      <c r="D82" s="153" t="s">
        <v>236</v>
      </c>
      <c r="E82" s="152"/>
      <c r="F82" s="152"/>
      <c r="G82" s="151">
        <v>388.76799999999997</v>
      </c>
    </row>
    <row r="83" spans="1:8" x14ac:dyDescent="0.25">
      <c r="A83" s="143" t="s">
        <v>35</v>
      </c>
      <c r="B83" s="143"/>
      <c r="C83" s="143" t="s">
        <v>75</v>
      </c>
      <c r="D83" s="145" t="s">
        <v>122</v>
      </c>
      <c r="E83" s="144"/>
      <c r="F83" s="143" t="s">
        <v>136</v>
      </c>
      <c r="G83" s="142">
        <v>388.76799999999997</v>
      </c>
      <c r="H83" s="141">
        <v>0</v>
      </c>
    </row>
    <row r="84" spans="1:8" ht="12.15" customHeight="1" x14ac:dyDescent="0.25">
      <c r="D84" s="153" t="s">
        <v>236</v>
      </c>
      <c r="E84" s="152"/>
      <c r="F84" s="152"/>
      <c r="G84" s="151">
        <v>388.76799999999997</v>
      </c>
    </row>
    <row r="85" spans="1:8" x14ac:dyDescent="0.25">
      <c r="A85" s="148"/>
      <c r="B85" s="148"/>
      <c r="C85" s="148" t="s">
        <v>76</v>
      </c>
      <c r="D85" s="150" t="s">
        <v>123</v>
      </c>
      <c r="E85" s="149"/>
      <c r="F85" s="148"/>
      <c r="G85" s="147"/>
      <c r="H85" s="146"/>
    </row>
    <row r="86" spans="1:8" x14ac:dyDescent="0.25">
      <c r="A86" s="143" t="s">
        <v>36</v>
      </c>
      <c r="B86" s="143"/>
      <c r="C86" s="143" t="s">
        <v>77</v>
      </c>
      <c r="D86" s="145" t="s">
        <v>124</v>
      </c>
      <c r="E86" s="144"/>
      <c r="F86" s="143" t="s">
        <v>135</v>
      </c>
      <c r="G86" s="142">
        <v>1</v>
      </c>
      <c r="H86" s="141">
        <v>0</v>
      </c>
    </row>
    <row r="87" spans="1:8" x14ac:dyDescent="0.25">
      <c r="A87" s="143" t="s">
        <v>37</v>
      </c>
      <c r="B87" s="143"/>
      <c r="C87" s="143" t="s">
        <v>78</v>
      </c>
      <c r="D87" s="145" t="s">
        <v>125</v>
      </c>
      <c r="E87" s="144"/>
      <c r="F87" s="143" t="s">
        <v>135</v>
      </c>
      <c r="G87" s="142">
        <v>1</v>
      </c>
      <c r="H87" s="141">
        <v>0</v>
      </c>
    </row>
    <row r="88" spans="1:8" x14ac:dyDescent="0.25">
      <c r="A88" s="143" t="s">
        <v>38</v>
      </c>
      <c r="B88" s="143"/>
      <c r="C88" s="143" t="s">
        <v>79</v>
      </c>
      <c r="D88" s="145" t="s">
        <v>126</v>
      </c>
      <c r="E88" s="144"/>
      <c r="F88" s="143" t="s">
        <v>135</v>
      </c>
      <c r="G88" s="142">
        <v>1</v>
      </c>
      <c r="H88" s="141">
        <v>0</v>
      </c>
    </row>
    <row r="90" spans="1:8" ht="11.25" customHeight="1" x14ac:dyDescent="0.25">
      <c r="A90" s="140" t="s">
        <v>39</v>
      </c>
    </row>
    <row r="91" spans="1:8" x14ac:dyDescent="0.25">
      <c r="A91" s="139"/>
      <c r="B91" s="138"/>
      <c r="C91" s="138"/>
      <c r="D91" s="138"/>
      <c r="E91" s="138"/>
      <c r="F91" s="138"/>
      <c r="G91" s="138"/>
    </row>
  </sheetData>
  <mergeCells count="97">
    <mergeCell ref="D88:E88"/>
    <mergeCell ref="A91:G91"/>
    <mergeCell ref="D82:F82"/>
    <mergeCell ref="D83:E83"/>
    <mergeCell ref="D84:F84"/>
    <mergeCell ref="D85:E85"/>
    <mergeCell ref="D86:E86"/>
    <mergeCell ref="D87:E87"/>
    <mergeCell ref="D76:E76"/>
    <mergeCell ref="D77:F77"/>
    <mergeCell ref="D78:E78"/>
    <mergeCell ref="D79:E79"/>
    <mergeCell ref="D80:F80"/>
    <mergeCell ref="D81:E81"/>
    <mergeCell ref="D70:E70"/>
    <mergeCell ref="D71:F71"/>
    <mergeCell ref="D72:E72"/>
    <mergeCell ref="D73:E73"/>
    <mergeCell ref="D74:F74"/>
    <mergeCell ref="D75:E75"/>
    <mergeCell ref="D64:F64"/>
    <mergeCell ref="D65:F65"/>
    <mergeCell ref="D66:E66"/>
    <mergeCell ref="D67:F67"/>
    <mergeCell ref="D68:E68"/>
    <mergeCell ref="D69:F69"/>
    <mergeCell ref="D58:E58"/>
    <mergeCell ref="D59:F59"/>
    <mergeCell ref="D60:F60"/>
    <mergeCell ref="D61:E61"/>
    <mergeCell ref="D62:F62"/>
    <mergeCell ref="D63:E63"/>
    <mergeCell ref="D52:F52"/>
    <mergeCell ref="D53:E53"/>
    <mergeCell ref="D54:F54"/>
    <mergeCell ref="D55:F55"/>
    <mergeCell ref="D56:E56"/>
    <mergeCell ref="D57:F57"/>
    <mergeCell ref="D46:F46"/>
    <mergeCell ref="D47:E47"/>
    <mergeCell ref="D48:F48"/>
    <mergeCell ref="D49:F49"/>
    <mergeCell ref="D50:E50"/>
    <mergeCell ref="D51:E51"/>
    <mergeCell ref="D40:F40"/>
    <mergeCell ref="D41:E41"/>
    <mergeCell ref="D42:E42"/>
    <mergeCell ref="D43:F43"/>
    <mergeCell ref="D44:E44"/>
    <mergeCell ref="D45:E45"/>
    <mergeCell ref="D34:F34"/>
    <mergeCell ref="D35:E35"/>
    <mergeCell ref="D36:E36"/>
    <mergeCell ref="D37:F37"/>
    <mergeCell ref="D38:E38"/>
    <mergeCell ref="D39:E39"/>
    <mergeCell ref="D28:E28"/>
    <mergeCell ref="D29:F29"/>
    <mergeCell ref="D30:E30"/>
    <mergeCell ref="D31:E31"/>
    <mergeCell ref="D32:F32"/>
    <mergeCell ref="D33:E33"/>
    <mergeCell ref="D22:F22"/>
    <mergeCell ref="D23:E23"/>
    <mergeCell ref="D24:F24"/>
    <mergeCell ref="D25:E25"/>
    <mergeCell ref="D26:E26"/>
    <mergeCell ref="D27:F27"/>
    <mergeCell ref="D16:E16"/>
    <mergeCell ref="D17:F17"/>
    <mergeCell ref="D18:E18"/>
    <mergeCell ref="D19:F19"/>
    <mergeCell ref="D20:E20"/>
    <mergeCell ref="D21:E21"/>
    <mergeCell ref="D10:E10"/>
    <mergeCell ref="D11:E11"/>
    <mergeCell ref="D12:E12"/>
    <mergeCell ref="D13:F13"/>
    <mergeCell ref="D14:E14"/>
    <mergeCell ref="D15:F15"/>
    <mergeCell ref="A6:B7"/>
    <mergeCell ref="C6:D7"/>
    <mergeCell ref="E6:E7"/>
    <mergeCell ref="F6:H7"/>
    <mergeCell ref="A8:B9"/>
    <mergeCell ref="C8:D9"/>
    <mergeCell ref="E8:E9"/>
    <mergeCell ref="F8:H9"/>
    <mergeCell ref="A1:H1"/>
    <mergeCell ref="A2:B3"/>
    <mergeCell ref="C2:D3"/>
    <mergeCell ref="E2:E3"/>
    <mergeCell ref="F2:H3"/>
    <mergeCell ref="A4:B5"/>
    <mergeCell ref="C4:D5"/>
    <mergeCell ref="E4:E5"/>
    <mergeCell ref="F4:H5"/>
  </mergeCells>
  <pageMargins left="0.39400000000000002" right="0.39400000000000002" top="0.59099999999999997" bottom="0.59099999999999997" header="0.5" footer="0.5"/>
  <pageSetup paperSize="9" scale="62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51A8F4B85100C4CA7F07F9C34D60438" ma:contentTypeVersion="11" ma:contentTypeDescription="Vytvoří nový dokument" ma:contentTypeScope="" ma:versionID="e48170057d8c0fd05a04f86ed07f99c7">
  <xsd:schema xmlns:xsd="http://www.w3.org/2001/XMLSchema" xmlns:xs="http://www.w3.org/2001/XMLSchema" xmlns:p="http://schemas.microsoft.com/office/2006/metadata/properties" xmlns:ns3="4f58a436-7c86-4466-aa45-2e18b9b037da" xmlns:ns4="bd312afc-de23-4002-be51-20ee3a1a92c7" targetNamespace="http://schemas.microsoft.com/office/2006/metadata/properties" ma:root="true" ma:fieldsID="93a8d09c6c346729c6557c467dfab52d" ns3:_="" ns4:_="">
    <xsd:import namespace="4f58a436-7c86-4466-aa45-2e18b9b037da"/>
    <xsd:import namespace="bd312afc-de23-4002-be51-20ee3a1a92c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EventHashCode" minOccurs="0"/>
                <xsd:element ref="ns3:MediaServiceGenerationTim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58a436-7c86-4466-aa45-2e18b9b03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312afc-de23-4002-be51-20ee3a1a92c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3056670-9DD7-4783-A8ED-25FD26EB36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f58a436-7c86-4466-aa45-2e18b9b037da"/>
    <ds:schemaRef ds:uri="bd312afc-de23-4002-be51-20ee3a1a92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3ADA10-7758-4AF8-96F5-519AF718CA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ADF8C6-B7F7-4E66-AFF4-291CB0596173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bd312afc-de23-4002-be51-20ee3a1a92c7"/>
    <ds:schemaRef ds:uri="http://purl.org/dc/elements/1.1/"/>
    <ds:schemaRef ds:uri="http://schemas.microsoft.com/office/2006/metadata/properties"/>
    <ds:schemaRef ds:uri="http://purl.org/dc/terms/"/>
    <ds:schemaRef ds:uri="4f58a436-7c86-4466-aa45-2e18b9b037da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Krycí list rozpočtu</vt:lpstr>
      <vt:lpstr>Stavební rozpočet - součet</vt:lpstr>
      <vt:lpstr>Stavební rozpočet</vt:lpstr>
      <vt:lpstr>Výkaz výměr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Hefner</dc:creator>
  <cp:lastModifiedBy>Miloslava Staňková</cp:lastModifiedBy>
  <dcterms:created xsi:type="dcterms:W3CDTF">2019-06-13T18:42:00Z</dcterms:created>
  <dcterms:modified xsi:type="dcterms:W3CDTF">2019-11-21T09:21:13Z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0x010100C51A8F4B85100C4CA7F07F9C34D60438</vt:lpwstr>
  </property>
</Properties>
</file>